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otaal kostenplaatsen" sheetId="1" r:id="rId1"/>
    <sheet name="KPL kapitaallasten" sheetId="2" r:id="rId2"/>
    <sheet name="KPL algemeen" sheetId="3" r:id="rId3"/>
    <sheet name="KPL personeel" sheetId="4" r:id="rId4"/>
    <sheet name="KPL huisvesting" sheetId="5" r:id="rId5"/>
    <sheet name="KPL facilitair" sheetId="6" r:id="rId6"/>
    <sheet name="KPL ICT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2">'KPL algemeen'!$A$1:$O$32</definedName>
    <definedName name="_xlnm.Print_Area" localSheetId="5">'KPL facilitair'!$A$1:$O$31</definedName>
    <definedName name="_xlnm.Print_Area" localSheetId="4">'KPL huisvesting'!$A$1:$N$38</definedName>
    <definedName name="_xlnm.Print_Area" localSheetId="6">'KPL ICT'!$A$1:$O$29</definedName>
    <definedName name="_xlnm.Print_Area" localSheetId="3">'KPL personeel'!$A$1:$O$77</definedName>
    <definedName name="_xlnm.Print_Area" localSheetId="0">'Totaal kostenplaatsen'!$A$1:$O$25</definedName>
    <definedName name="OLE_LINK1" localSheetId="4">'KPL huisvesting'!$B$33</definedName>
  </definedNames>
  <calcPr fullCalcOnLoad="1"/>
</workbook>
</file>

<file path=xl/sharedStrings.xml><?xml version="1.0" encoding="utf-8"?>
<sst xmlns="http://schemas.openxmlformats.org/spreadsheetml/2006/main" count="229" uniqueCount="160">
  <si>
    <t>Vast personeel</t>
  </si>
  <si>
    <t>Belastingen en verzekeringen</t>
  </si>
  <si>
    <t>Technische onderhoudskosten</t>
  </si>
  <si>
    <t>Beveiliging</t>
  </si>
  <si>
    <t>Licentiekosten/onderhoudskosten soft- en hardware</t>
  </si>
  <si>
    <t>Bestuurskosten</t>
  </si>
  <si>
    <t>Verzekeringen</t>
  </si>
  <si>
    <t>Werving en selectie</t>
  </si>
  <si>
    <t>Dienstreizen</t>
  </si>
  <si>
    <t>Abonnementen</t>
  </si>
  <si>
    <t>Portikosten</t>
  </si>
  <si>
    <t>Koffie thee ed</t>
  </si>
  <si>
    <t>Papier, drukwerk</t>
  </si>
  <si>
    <t>Kantoorbenodigdheden</t>
  </si>
  <si>
    <t>Lasten:</t>
  </si>
  <si>
    <t>Onvoorziene lasten (saldo lasten en baten)</t>
  </si>
  <si>
    <t>Facilitaire zaken</t>
  </si>
  <si>
    <t>Algemene kosten</t>
  </si>
  <si>
    <t>Huisvestingskosten</t>
  </si>
  <si>
    <t>ICT</t>
  </si>
  <si>
    <t>Personeelskosten</t>
  </si>
  <si>
    <t>Totale kosten</t>
  </si>
  <si>
    <t>Baten:</t>
  </si>
  <si>
    <t>Accountantskosten</t>
  </si>
  <si>
    <t>00.000</t>
  </si>
  <si>
    <t>5.200.2000</t>
  </si>
  <si>
    <t>5.200.1000</t>
  </si>
  <si>
    <t>5.200.3000</t>
  </si>
  <si>
    <t>5.200.4000</t>
  </si>
  <si>
    <t>5.200.5000</t>
  </si>
  <si>
    <t>34.351</t>
  </si>
  <si>
    <t>34.357</t>
  </si>
  <si>
    <t>34.358</t>
  </si>
  <si>
    <t>34.359</t>
  </si>
  <si>
    <t>34.360</t>
  </si>
  <si>
    <t>34.361</t>
  </si>
  <si>
    <t>34.362</t>
  </si>
  <si>
    <t>34.371</t>
  </si>
  <si>
    <t>34.372</t>
  </si>
  <si>
    <t>34.373</t>
  </si>
  <si>
    <t>34.331</t>
  </si>
  <si>
    <t>34.317</t>
  </si>
  <si>
    <t>34.333</t>
  </si>
  <si>
    <t>34.334</t>
  </si>
  <si>
    <t>34.335</t>
  </si>
  <si>
    <t>34.312</t>
  </si>
  <si>
    <t>34.314</t>
  </si>
  <si>
    <t>34.316</t>
  </si>
  <si>
    <t>Wao inkomsten</t>
  </si>
  <si>
    <t>Toelichting:</t>
  </si>
  <si>
    <t>Saldo lasten en baten</t>
  </si>
  <si>
    <t>Baten</t>
  </si>
  <si>
    <t>Saldo kostenplaatsen</t>
  </si>
  <si>
    <t>Kosten pré VUT</t>
  </si>
  <si>
    <t>Inhuur personeel</t>
  </si>
  <si>
    <t>Teambuilding</t>
  </si>
  <si>
    <t>11.000</t>
  </si>
  <si>
    <t>Doorbelasting jobhunter naar werkdeel STW.</t>
  </si>
  <si>
    <t xml:space="preserve">De post abonnementen bevat zowel abonnementen op wetteksten als lidmaatschappen van </t>
  </si>
  <si>
    <t>5.100.1000</t>
  </si>
  <si>
    <t>Kapitaallasten</t>
  </si>
  <si>
    <t>21.100</t>
  </si>
  <si>
    <t>Rentelasten</t>
  </si>
  <si>
    <t>Afschrijvingen</t>
  </si>
  <si>
    <t>23.010</t>
  </si>
  <si>
    <t>Rentebaten</t>
  </si>
  <si>
    <t>61.100</t>
  </si>
  <si>
    <t>34.304</t>
  </si>
  <si>
    <t>Inkoop overige goederen en diensten</t>
  </si>
  <si>
    <t>34.305</t>
  </si>
  <si>
    <t>Representatiekosten</t>
  </si>
  <si>
    <t>Medezeggenschap en ondernemingsraad</t>
  </si>
  <si>
    <t>Overige goederen en diensten</t>
  </si>
  <si>
    <t>Opleidingsbudget</t>
  </si>
  <si>
    <t>Toelichting</t>
  </si>
  <si>
    <r>
      <t xml:space="preserve">De kosten van de </t>
    </r>
    <r>
      <rPr>
        <u val="single"/>
        <sz val="12"/>
        <rFont val="Palatino Linotype"/>
        <family val="1"/>
      </rPr>
      <t>accountmanager werk</t>
    </r>
    <r>
      <rPr>
        <sz val="12"/>
        <rFont val="Palatino Linotype"/>
        <family val="1"/>
      </rPr>
      <t xml:space="preserve"> (jobhunter) worden ten laste van het werkdeel WWB gebracht.</t>
    </r>
  </si>
  <si>
    <t>WAO inkomsten, betreft de vergoeding voor een dag per week van een medewerker.</t>
  </si>
  <si>
    <t>Huur gebouw (2.187m2)</t>
  </si>
  <si>
    <t xml:space="preserve">Baten </t>
  </si>
  <si>
    <t>Onderverhuur</t>
  </si>
  <si>
    <t>Waterverbruik</t>
  </si>
  <si>
    <t>Kosten website</t>
  </si>
  <si>
    <t xml:space="preserve">Datacommunicatie </t>
  </si>
  <si>
    <t>Arbo dienstverlening (contract Ardyn)</t>
  </si>
  <si>
    <t>Kapitaallasten Werkplein en IGSD</t>
  </si>
  <si>
    <t>Gas</t>
  </si>
  <si>
    <t>Electriciteit</t>
  </si>
  <si>
    <t>Inkoop salarisadministratie Steenwijkerland</t>
  </si>
  <si>
    <t>Telefonie</t>
  </si>
  <si>
    <t>lasten vindt plaats aan de gebruikers van het gebouw.</t>
  </si>
  <si>
    <t>De kapitaallasten hebben betrekking op de investeringen in het Werkplein. Doorbelasting van de</t>
  </si>
  <si>
    <t>Voor de datacommunicatie zijn er een aantal aansluitingen in het gebouw gerealiseerd.</t>
  </si>
  <si>
    <t>De kosten hebben betrekking op de abonnementskosten daarvan.</t>
  </si>
  <si>
    <t>Voor jaarlijkse licentie- en onderhoudskosten en eventuele nieuwe licenties wordt een bedrag</t>
  </si>
  <si>
    <t>geraamd voor de aanschaf en het onderhoud.</t>
  </si>
  <si>
    <t>Met de gemeente Steenwijkerland is een dvo afgsloten voor het afnemen van de voorzieningen</t>
  </si>
  <si>
    <t>Betreft kosten van de accountant Ernst &amp; Young.</t>
  </si>
  <si>
    <t>Presentiegelden commissie bezwaar en beroep</t>
  </si>
  <si>
    <t>Doorbelasting overhead Wiedenmodel aan werkdeel Steenwijkerland</t>
  </si>
  <si>
    <t>pm</t>
  </si>
  <si>
    <t>De rentelasten en afschrijvingen zijn gebaseerd op de staat van materiële activa.</t>
  </si>
  <si>
    <t>Inkoop financiële administratie Steenwijkerland</t>
  </si>
  <si>
    <t>Automatisering</t>
  </si>
  <si>
    <t>Salarissen en sociale lasten voormalig personeel</t>
  </si>
  <si>
    <t>De IGSD is hoofdhuurder. Met het UWV is een werkplekkenovereenkomsten (inclusief huur) afgesloten.</t>
  </si>
  <si>
    <t>afvoer afval (restafval en papier)</t>
  </si>
  <si>
    <t>Schoonmaakkosten (contract schoonmaakbedrijf),</t>
  </si>
  <si>
    <t xml:space="preserve">ondersteunende instellingen zoals Schulinck, Divosa en Stimulansz. </t>
  </si>
  <si>
    <t xml:space="preserve">Stelpost bezuiniging </t>
  </si>
  <si>
    <t>De consulent 'wiedenmodel' wordt ten laste gebracht van specifieke middelen van de gemeente Steenwijkerland</t>
  </si>
  <si>
    <t>op het gebied van ict. Er wordt een basisbedrag betaald en voor elke extra afgenomen pc een</t>
  </si>
  <si>
    <t xml:space="preserve"> extra bedrag.</t>
  </si>
  <si>
    <r>
      <t xml:space="preserve">De </t>
    </r>
    <r>
      <rPr>
        <u val="single"/>
        <sz val="12"/>
        <rFont val="Palatino Linotype"/>
        <family val="1"/>
      </rPr>
      <t>budgetcoach</t>
    </r>
    <r>
      <rPr>
        <sz val="12"/>
        <rFont val="Palatino Linotype"/>
        <family val="1"/>
      </rPr>
      <t xml:space="preserve"> is met ingang van half 2010 aangesteld voor de gemeente Steenwijkerland. De loonkosten</t>
    </r>
  </si>
  <si>
    <t>worden voor 50% in rekening gebracht bij de Noordwestgroep.</t>
  </si>
  <si>
    <t>De teamleider re-integratie van de IGSD geeft ook leiding aan het team re-integratie van de Noordwestgroep. De kosten</t>
  </si>
  <si>
    <t>De taakstelling heeft betrekking op het van gemeentewege korten van het budget voor de uitvoering van de taken van de IGSD.</t>
  </si>
  <si>
    <t>werkelijke cijfers</t>
  </si>
  <si>
    <t>Begroting na wijziging</t>
  </si>
  <si>
    <t>34.306</t>
  </si>
  <si>
    <t>Betaal- ein inningenverkeer</t>
  </si>
  <si>
    <t>34.397</t>
  </si>
  <si>
    <t>Procesbegeleiding</t>
  </si>
  <si>
    <t>Overige ontvangsten</t>
  </si>
  <si>
    <t>Belastingen en heffingen</t>
  </si>
  <si>
    <t>Sociale recherche</t>
  </si>
  <si>
    <t>Reis- en verblijfkosten onbelast</t>
  </si>
  <si>
    <t>Doorbelastingen o.a. participatiebudget</t>
  </si>
  <si>
    <t>De loonkosten zijn, op basis van de cao en de verwachte loonstigingen, ten opzichte van 2014 niet verhoogd.</t>
  </si>
  <si>
    <t>Reiskosten woon- werkverkeer</t>
  </si>
  <si>
    <t>IGSD BEGROTING APPARAATSKOSTEN 2015-2018</t>
  </si>
  <si>
    <t>Gratificaties</t>
  </si>
  <si>
    <t>Ziektegelden</t>
  </si>
  <si>
    <t>Kerstpakketten</t>
  </si>
  <si>
    <t>Meubilair</t>
  </si>
  <si>
    <t>Aanschaf en onderhoudkosten soft- en hardware</t>
  </si>
  <si>
    <t>Onttrekkingen reserve</t>
  </si>
  <si>
    <t>liquiditeitenrekening. Daarmee is erook geen sprake meer van een rentebate.</t>
  </si>
  <si>
    <t xml:space="preserve">De rentebaten zijn op nihil gezet. Doordat de bevoorschotting maandelijks plaatsvindt ontstaan er geen overschotten meer op de </t>
  </si>
  <si>
    <t>De werkplekken overeenkomst  met het UWV heeft een looptijd van 10 jaar.</t>
  </si>
  <si>
    <t>Gedetacheerd personeel derden (NWG/voormalig directeur IGSD)</t>
  </si>
  <si>
    <t>gebracht van de gemeente Steenwijkerland.</t>
  </si>
  <si>
    <t>De voormalig directeur van de IGSD staat nog op de loonlijst van de IGSD. De loonkosten worden conform de gemaakte afsrpaken  ten laste</t>
  </si>
  <si>
    <t>Uitbreiding inhuur personeel uitbreiding aantal klanten: zie toelichting Baten/30.001</t>
  </si>
  <si>
    <t>Doorbelasting consulent 'Wiedenmodel' Steenwijkerland</t>
  </si>
  <si>
    <t>Doorbelasting inhuur personeel betreffende uitbreiding aantal klanten</t>
  </si>
  <si>
    <t>Doorbelasting trajectbegeleider actieplan jeugswerkloosheid werkdeel</t>
  </si>
  <si>
    <t>Flexibel budget                                                                                       € 200.000</t>
  </si>
  <si>
    <t xml:space="preserve">Inhuur participatie                                                                                 € 400.000                  </t>
  </si>
  <si>
    <t xml:space="preserve">Uitbreiding 5 fte a.g.v. toenemend klantenbestand &gt; 700 tegen </t>
  </si>
  <si>
    <t>Voor toelichting: zie 30.001 lasten</t>
  </si>
  <si>
    <t>een tarief van € 62.500 per fte; voor 2015 ruim 1200 klanten        € 312.500</t>
  </si>
  <si>
    <t>werden ten laste gebracht van het participatiebudget en met ingang van 2015 uit de extra middelen van de gemeente Steenwijkerland.</t>
  </si>
  <si>
    <t>Er worden als gevolg van de samenwerking tussen de IGSD en de NWG geen diensten meer van Steenwijkerland</t>
  </si>
  <si>
    <t>Steenwijkerland.</t>
  </si>
  <si>
    <t xml:space="preserve">afgenomen. Dit levert een besparing op van € 22.500. Deze middelen komen ten goede aan de gemeente </t>
  </si>
  <si>
    <t>Door de samenwerking van de IGSD met de NoordWestGroep zijn er besparingen in de loonkosten gerealiseerd.</t>
  </si>
  <si>
    <t>Die besparing (financiële administratie, personeelsadviseur en teamleider re-integratie (50%) ad.€ 130.000, wordt in mindering gebracht op de bijdrage</t>
  </si>
  <si>
    <t>van de gemeente Steenwijkerland.</t>
  </si>
  <si>
    <t>Doorbelasting schuldhulpverling naar Stwlnd, budgtecoach</t>
  </si>
  <si>
    <t>Doorbelasting consulent werk aan werkdeel STW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</si>
</sst>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#,##0;[Red]#,##0"/>
    <numFmt numFmtId="187" formatCode="#,##0_ ;[Red]\-#,##0\ 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Palatino Linotype"/>
      <family val="1"/>
    </font>
    <font>
      <b/>
      <sz val="12"/>
      <name val="Palatino Linotype"/>
      <family val="1"/>
    </font>
    <font>
      <sz val="12"/>
      <color indexed="1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0"/>
      <color indexed="10"/>
      <name val="Palatino Linotype"/>
      <family val="1"/>
    </font>
    <font>
      <b/>
      <sz val="18"/>
      <name val="Palatino Linotype"/>
      <family val="1"/>
    </font>
    <font>
      <b/>
      <u val="single"/>
      <sz val="12"/>
      <name val="Palatino Linotype"/>
      <family val="1"/>
    </font>
    <font>
      <i/>
      <sz val="12"/>
      <name val="Palatino Linotype"/>
      <family val="1"/>
    </font>
    <font>
      <u val="single"/>
      <sz val="12"/>
      <name val="Palatino Linotype"/>
      <family val="1"/>
    </font>
    <font>
      <sz val="16"/>
      <name val="Palatino Linotype"/>
      <family val="1"/>
    </font>
    <font>
      <b/>
      <sz val="16"/>
      <name val="Palatino Linotyp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46" applyNumberFormat="1" applyFont="1" applyBorder="1" applyAlignment="1">
      <alignment/>
    </xf>
    <xf numFmtId="10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2" fillId="0" borderId="0" xfId="46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10" xfId="46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6" fillId="0" borderId="0" xfId="46" applyNumberFormat="1" applyFont="1" applyBorder="1" applyAlignment="1">
      <alignment/>
    </xf>
    <xf numFmtId="3" fontId="8" fillId="0" borderId="0" xfId="46" applyNumberFormat="1" applyFont="1" applyBorder="1" applyAlignment="1">
      <alignment/>
    </xf>
    <xf numFmtId="10" fontId="6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46" applyNumberFormat="1" applyFont="1" applyAlignment="1">
      <alignment/>
    </xf>
    <xf numFmtId="3" fontId="14" fillId="0" borderId="0" xfId="0" applyNumberFormat="1" applyFont="1" applyAlignment="1">
      <alignment/>
    </xf>
    <xf numFmtId="3" fontId="12" fillId="0" borderId="0" xfId="46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3" fontId="11" fillId="0" borderId="0" xfId="46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7" fillId="0" borderId="0" xfId="46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3" fillId="0" borderId="0" xfId="46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10" fontId="11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center"/>
    </xf>
    <xf numFmtId="3" fontId="7" fillId="0" borderId="0" xfId="0" applyNumberFormat="1" applyFont="1" applyAlignment="1" quotePrefix="1">
      <alignment horizontal="right"/>
    </xf>
    <xf numFmtId="3" fontId="15" fillId="0" borderId="0" xfId="0" applyNumberFormat="1" applyFont="1" applyAlignment="1">
      <alignment/>
    </xf>
    <xf numFmtId="3" fontId="6" fillId="0" borderId="0" xfId="46" applyNumberFormat="1" applyFont="1" applyAlignment="1">
      <alignment/>
    </xf>
    <xf numFmtId="3" fontId="6" fillId="0" borderId="0" xfId="0" applyNumberFormat="1" applyFont="1" applyAlignment="1" quotePrefix="1">
      <alignment horizontal="right"/>
    </xf>
    <xf numFmtId="3" fontId="6" fillId="0" borderId="0" xfId="0" applyNumberFormat="1" applyFont="1" applyFill="1" applyAlignment="1">
      <alignment/>
    </xf>
    <xf numFmtId="3" fontId="6" fillId="0" borderId="0" xfId="46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10" xfId="46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quotePrefix="1">
      <alignment/>
    </xf>
    <xf numFmtId="3" fontId="7" fillId="0" borderId="11" xfId="46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87" fontId="6" fillId="0" borderId="0" xfId="46" applyNumberFormat="1" applyFont="1" applyAlignment="1">
      <alignment/>
    </xf>
    <xf numFmtId="3" fontId="8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3" fontId="7" fillId="0" borderId="0" xfId="46" applyNumberFormat="1" applyFont="1" applyBorder="1" applyAlignment="1">
      <alignment horizontal="right"/>
    </xf>
    <xf numFmtId="3" fontId="6" fillId="0" borderId="0" xfId="0" applyNumberFormat="1" applyFont="1" applyAlignment="1" quotePrefix="1">
      <alignment horizontal="right" vertical="top"/>
    </xf>
    <xf numFmtId="3" fontId="6" fillId="0" borderId="0" xfId="46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12" xfId="46" applyNumberFormat="1" applyFont="1" applyBorder="1" applyAlignment="1">
      <alignment/>
    </xf>
    <xf numFmtId="3" fontId="6" fillId="0" borderId="10" xfId="46" applyNumberFormat="1" applyFont="1" applyBorder="1" applyAlignment="1">
      <alignment/>
    </xf>
    <xf numFmtId="3" fontId="6" fillId="0" borderId="10" xfId="46" applyNumberFormat="1" applyFont="1" applyBorder="1" applyAlignment="1">
      <alignment horizontal="right"/>
    </xf>
    <xf numFmtId="1" fontId="7" fillId="0" borderId="0" xfId="0" applyNumberFormat="1" applyFont="1" applyFill="1" applyAlignment="1">
      <alignment horizontal="center"/>
    </xf>
    <xf numFmtId="3" fontId="6" fillId="0" borderId="0" xfId="0" applyNumberFormat="1" applyFont="1" applyBorder="1" applyAlignment="1" quotePrefix="1">
      <alignment horizontal="right"/>
    </xf>
    <xf numFmtId="3" fontId="6" fillId="0" borderId="10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6" fillId="33" borderId="0" xfId="0" applyNumberFormat="1" applyFont="1" applyFill="1" applyBorder="1" applyAlignment="1">
      <alignment/>
    </xf>
    <xf numFmtId="3" fontId="6" fillId="33" borderId="0" xfId="46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3" fontId="7" fillId="33" borderId="10" xfId="46" applyNumberFormat="1" applyFont="1" applyFill="1" applyBorder="1" applyAlignment="1">
      <alignment/>
    </xf>
    <xf numFmtId="3" fontId="7" fillId="33" borderId="0" xfId="46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3" fontId="8" fillId="33" borderId="0" xfId="46" applyNumberFormat="1" applyFont="1" applyFill="1" applyBorder="1" applyAlignment="1">
      <alignment/>
    </xf>
    <xf numFmtId="10" fontId="6" fillId="33" borderId="0" xfId="0" applyNumberFormat="1" applyFont="1" applyFill="1" applyAlignment="1">
      <alignment/>
    </xf>
    <xf numFmtId="3" fontId="7" fillId="0" borderId="0" xfId="0" applyNumberFormat="1" applyFont="1" applyAlignment="1">
      <alignment horizontal="left"/>
    </xf>
    <xf numFmtId="3" fontId="17" fillId="0" borderId="0" xfId="0" applyNumberFormat="1" applyFont="1" applyAlignment="1">
      <alignment horizontal="left"/>
    </xf>
    <xf numFmtId="3" fontId="17" fillId="0" borderId="0" xfId="0" applyNumberFormat="1" applyFont="1" applyAlignment="1">
      <alignment/>
    </xf>
    <xf numFmtId="3" fontId="7" fillId="0" borderId="10" xfId="46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6" fillId="34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top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 wrapText="1"/>
    </xf>
    <xf numFmtId="3" fontId="7" fillId="33" borderId="0" xfId="46" applyNumberFormat="1" applyFont="1" applyFill="1" applyBorder="1" applyAlignment="1">
      <alignment/>
    </xf>
    <xf numFmtId="3" fontId="6" fillId="0" borderId="10" xfId="46" applyNumberFormat="1" applyFont="1" applyFill="1" applyBorder="1" applyAlignment="1">
      <alignment/>
    </xf>
    <xf numFmtId="3" fontId="6" fillId="0" borderId="0" xfId="46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 wrapText="1"/>
    </xf>
    <xf numFmtId="3" fontId="6" fillId="0" borderId="0" xfId="0" applyNumberFormat="1" applyFont="1" applyFill="1" applyAlignment="1" quotePrefix="1">
      <alignment horizontal="right"/>
    </xf>
    <xf numFmtId="3" fontId="8" fillId="0" borderId="0" xfId="0" applyNumberFormat="1" applyFont="1" applyFill="1" applyAlignment="1">
      <alignment/>
    </xf>
    <xf numFmtId="3" fontId="7" fillId="0" borderId="0" xfId="46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W2001\Opslag\IGSD\_Bedrijfsvoering\Begroting\Begroting%202007\Begroting%20apparaatskosten%202006%20Igs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W2001\Opslag\IGSD\_Bedrijfsvoering\Begroting\Begroting%202007\Personeel\Personeel%20Steenwijkerland%202006%20begroting%202007%20e.v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W2001\Opslag\IGSD\_Bedrijfsvoering%20Henry\Begroting\Begroting%202010-2013\Personeel\2010%20IGSD%20begrot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tr\AppData\Local\Microsoft\Windows\Temporary%20Internet%20Files\Content.Outlook\SV3MVLMW\Huur%20en%20verhuur\Huursom%20berekening%20Werkplein%20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W2001\Opslag\IGSD\_Bedrijfsvoering%20Henry\Begroting\Begroting%202012%20-%202015\Personeel\Personele%20lasten%202012%20IGSD%20begro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erjarenbegroting"/>
      <sheetName val="begroting 2007-2010"/>
      <sheetName val="overzicht fte's"/>
      <sheetName val="Indeling administratie"/>
    </sheetNames>
    <sheetDataSet>
      <sheetData sheetId="2">
        <row r="88">
          <cell r="G88">
            <v>1614000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49">
          <cell r="K49">
            <v>1731444.3399999999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0 IGSD begroting"/>
    </sheetNames>
    <sheetDataSet>
      <sheetData sheetId="0">
        <row r="52">
          <cell r="F52">
            <v>2357578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uursom"/>
      <sheetName val="Blad3"/>
    </sheetNames>
    <sheetDataSet>
      <sheetData sheetId="0">
        <row r="5">
          <cell r="G5">
            <v>343128</v>
          </cell>
          <cell r="H5">
            <v>349990.56</v>
          </cell>
          <cell r="I5">
            <v>356990.3712</v>
          </cell>
          <cell r="J5">
            <v>364130.178624</v>
          </cell>
        </row>
        <row r="21">
          <cell r="G21">
            <v>197213.28</v>
          </cell>
          <cell r="H21">
            <v>197671.5456</v>
          </cell>
          <cell r="I21">
            <v>198138.976512</v>
          </cell>
          <cell r="J21">
            <v>198615.75604224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2 begroting"/>
    </sheetNames>
    <sheetDataSet>
      <sheetData sheetId="0">
        <row r="55">
          <cell r="G55">
            <v>2428844.416666667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48"/>
  <sheetViews>
    <sheetView tabSelected="1" zoomScalePageLayoutView="0" workbookViewId="0" topLeftCell="B1">
      <selection activeCell="K22" sqref="K22"/>
    </sheetView>
  </sheetViews>
  <sheetFormatPr defaultColWidth="9.140625" defaultRowHeight="12.75"/>
  <cols>
    <col min="1" max="1" width="9.140625" style="27" customWidth="1"/>
    <col min="2" max="2" width="53.00390625" style="27" customWidth="1"/>
    <col min="3" max="4" width="14.28125" style="27" hidden="1" customWidth="1"/>
    <col min="5" max="5" width="16.421875" style="27" hidden="1" customWidth="1"/>
    <col min="6" max="6" width="14.28125" style="27" hidden="1" customWidth="1"/>
    <col min="7" max="9" width="14.8515625" style="27" hidden="1" customWidth="1"/>
    <col min="10" max="10" width="14.8515625" style="27" customWidth="1"/>
    <col min="11" max="15" width="13.421875" style="27" customWidth="1"/>
    <col min="16" max="16384" width="9.140625" style="27" customWidth="1"/>
  </cols>
  <sheetData>
    <row r="4" s="24" customFormat="1" ht="21">
      <c r="B4" s="23" t="s">
        <v>129</v>
      </c>
    </row>
    <row r="5" spans="9:11" ht="54">
      <c r="I5" s="97" t="s">
        <v>116</v>
      </c>
      <c r="J5" s="97" t="s">
        <v>116</v>
      </c>
      <c r="K5" s="97" t="s">
        <v>117</v>
      </c>
    </row>
    <row r="6" spans="2:15" s="14" customFormat="1" ht="18">
      <c r="B6" s="13" t="s">
        <v>14</v>
      </c>
      <c r="C6" s="43">
        <v>2006</v>
      </c>
      <c r="D6" s="43">
        <v>2007</v>
      </c>
      <c r="E6" s="43">
        <v>2008</v>
      </c>
      <c r="F6" s="43">
        <f>+E6+1</f>
        <v>2009</v>
      </c>
      <c r="G6" s="43">
        <f>+F6+1</f>
        <v>2010</v>
      </c>
      <c r="H6" s="43">
        <v>2012</v>
      </c>
      <c r="I6" s="43">
        <v>2011</v>
      </c>
      <c r="J6" s="43">
        <v>2013</v>
      </c>
      <c r="K6" s="43">
        <v>2014</v>
      </c>
      <c r="L6" s="43">
        <f>+K6+1</f>
        <v>2015</v>
      </c>
      <c r="M6" s="43">
        <f>+L6+1</f>
        <v>2016</v>
      </c>
      <c r="N6" s="43">
        <f>+M6+1</f>
        <v>2017</v>
      </c>
      <c r="O6" s="43">
        <f>+N6+1</f>
        <v>2018</v>
      </c>
    </row>
    <row r="7" spans="2:15" s="14" customFormat="1" ht="18">
      <c r="B7" s="1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5" s="14" customFormat="1" ht="18.75" thickBot="1">
      <c r="B8" s="45" t="s">
        <v>60</v>
      </c>
      <c r="C8" s="43"/>
      <c r="D8" s="43"/>
      <c r="E8" s="43"/>
      <c r="F8" s="15">
        <f>+'KPL kapitaallasten'!G21</f>
        <v>-50000</v>
      </c>
      <c r="G8" s="15">
        <f>+'KPL kapitaallasten'!G21</f>
        <v>-50000</v>
      </c>
      <c r="H8" s="15">
        <f>+'KPL kapitaallasten'!H21</f>
        <v>-5000</v>
      </c>
      <c r="I8" s="15">
        <f>+'KPL kapitaallasten'!I21</f>
        <v>-37061.68999999999</v>
      </c>
      <c r="J8" s="15">
        <f>+'KPL kapitaallasten'!J21</f>
        <v>-3527</v>
      </c>
      <c r="K8" s="15">
        <f>+'KPL kapitaallasten'!K21</f>
        <v>-2500</v>
      </c>
      <c r="L8" s="15">
        <f>+'KPL kapitaallasten'!L21</f>
        <v>0</v>
      </c>
      <c r="M8" s="15">
        <f>+'KPL kapitaallasten'!M21</f>
        <v>0</v>
      </c>
      <c r="N8" s="15">
        <f>+'KPL kapitaallasten'!N21</f>
        <v>0</v>
      </c>
      <c r="O8" s="15">
        <f>+'KPL kapitaallasten'!O21</f>
        <v>0</v>
      </c>
    </row>
    <row r="9" s="14" customFormat="1" ht="18.75" thickTop="1"/>
    <row r="10" spans="2:15" s="14" customFormat="1" ht="18.75" thickBot="1">
      <c r="B10" s="45" t="s">
        <v>17</v>
      </c>
      <c r="C10" s="15">
        <f>+'KPL algemeen'!C18</f>
        <v>107000</v>
      </c>
      <c r="D10" s="15">
        <f>+'KPL algemeen'!D18</f>
        <v>155000</v>
      </c>
      <c r="E10" s="15">
        <f>+'KPL algemeen'!E27</f>
        <v>-2964288</v>
      </c>
      <c r="F10" s="15">
        <f>+'KPL algemeen'!F27</f>
        <v>24500</v>
      </c>
      <c r="G10" s="15">
        <f>+'KPL algemeen'!G27</f>
        <v>-3069688</v>
      </c>
      <c r="H10" s="15">
        <f>+'KPL algemeen'!H27</f>
        <v>40000</v>
      </c>
      <c r="I10" s="15">
        <f>+'KPL algemeen'!I27</f>
        <v>-2907125.2899999996</v>
      </c>
      <c r="J10" s="15">
        <f>+'KPL algemeen'!J27</f>
        <v>-3550567.6199999996</v>
      </c>
      <c r="K10" s="15">
        <f>+'KPL algemeen'!K27</f>
        <v>-3592153</v>
      </c>
      <c r="L10" s="15">
        <f>+'KPL algemeen'!L27</f>
        <v>-2872126</v>
      </c>
      <c r="M10" s="15">
        <f>+'KPL algemeen'!M27</f>
        <v>-2877173</v>
      </c>
      <c r="N10" s="15">
        <f>+'KPL algemeen'!N27</f>
        <v>-2880350</v>
      </c>
      <c r="O10" s="15">
        <f>+'KPL algemeen'!O27</f>
        <v>-2870392</v>
      </c>
    </row>
    <row r="11" spans="3:15" s="14" customFormat="1" ht="18.75" thickTop="1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3:15" s="14" customFormat="1" ht="18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2:15" s="14" customFormat="1" ht="18.75" thickBot="1">
      <c r="B13" s="45" t="s">
        <v>20</v>
      </c>
      <c r="C13" s="15">
        <f>+'KPL personeel'!C29</f>
        <v>2176000</v>
      </c>
      <c r="D13" s="15">
        <f>+'KPL personeel'!D46</f>
        <v>2138000.34</v>
      </c>
      <c r="E13" s="15">
        <f>+'KPL personeel'!E46</f>
        <v>2157516</v>
      </c>
      <c r="F13" s="15">
        <f>+'KPL personeel'!F46</f>
        <v>2455786</v>
      </c>
      <c r="G13" s="15">
        <f>+'KPL personeel'!G46</f>
        <v>2700078</v>
      </c>
      <c r="H13" s="15">
        <f>+'KPL personeel'!H46</f>
        <v>2644659.0833333335</v>
      </c>
      <c r="I13" s="15">
        <f>+'KPL personeel'!I46</f>
        <v>2062156.0699999998</v>
      </c>
      <c r="J13" s="15">
        <f>+'KPL personeel'!J46</f>
        <v>2656275</v>
      </c>
      <c r="K13" s="15">
        <f>+'KPL personeel'!K46</f>
        <v>2668591</v>
      </c>
      <c r="L13" s="15">
        <f>+'KPL personeel'!L46</f>
        <v>1956481</v>
      </c>
      <c r="M13" s="15">
        <f>+'KPL personeel'!M46</f>
        <v>1956481</v>
      </c>
      <c r="N13" s="15">
        <f>+'KPL personeel'!N46</f>
        <v>1956481</v>
      </c>
      <c r="O13" s="15">
        <f>+'KPL personeel'!O46</f>
        <v>1956482</v>
      </c>
    </row>
    <row r="14" spans="3:15" s="14" customFormat="1" ht="18.75" thickTop="1"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3:15" s="14" customFormat="1" ht="18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2:15" s="14" customFormat="1" ht="18.75" thickBot="1">
      <c r="B16" s="45" t="s">
        <v>18</v>
      </c>
      <c r="C16" s="15">
        <f>+'KPL huisvesting'!C22</f>
        <v>162000</v>
      </c>
      <c r="D16" s="15">
        <f>+'KPL huisvesting'!D22</f>
        <v>162000</v>
      </c>
      <c r="E16" s="15">
        <f>+'KPL huisvesting'!E22</f>
        <v>239267</v>
      </c>
      <c r="F16" s="15" t="e">
        <f>+'KPL huisvesting'!F22</f>
        <v>#REF!</v>
      </c>
      <c r="G16" s="15" t="e">
        <f>+'KPL huisvesting'!F30</f>
        <v>#REF!</v>
      </c>
      <c r="H16" s="15" t="e">
        <f>+'KPL huisvesting'!G30</f>
        <v>#REF!</v>
      </c>
      <c r="I16" s="15">
        <f>+'KPL huisvesting'!H30</f>
        <v>245227.96999999997</v>
      </c>
      <c r="J16" s="15">
        <f>+'KPL huisvesting'!I30</f>
        <v>336740</v>
      </c>
      <c r="K16" s="15">
        <f>+'KPL huisvesting'!J30</f>
        <v>356562</v>
      </c>
      <c r="L16" s="15">
        <f>+'KPL huisvesting'!K30</f>
        <v>367644.72</v>
      </c>
      <c r="M16" s="15">
        <f>+'KPL huisvesting'!L30</f>
        <v>372692.01440000004</v>
      </c>
      <c r="N16" s="15">
        <f>+'KPL huisvesting'!M30</f>
        <v>375869.394688</v>
      </c>
      <c r="O16" s="15">
        <f>+'KPL huisvesting'!N30</f>
        <v>365910.4225817599</v>
      </c>
    </row>
    <row r="17" spans="3:15" s="14" customFormat="1" ht="18.75" thickTop="1"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3:15" s="14" customFormat="1" ht="18"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2:15" s="14" customFormat="1" ht="18.75" thickBot="1">
      <c r="B19" s="45" t="s">
        <v>16</v>
      </c>
      <c r="C19" s="15">
        <f>+'KPL facilitair'!C22</f>
        <v>101000</v>
      </c>
      <c r="D19" s="15">
        <f>+'KPL facilitair'!D22</f>
        <v>91000</v>
      </c>
      <c r="E19" s="15">
        <f>+'KPL facilitair'!E22</f>
        <v>101520.00000000001</v>
      </c>
      <c r="F19" s="15">
        <f>+'KPL facilitair'!F22</f>
        <v>172880</v>
      </c>
      <c r="G19" s="15" t="e">
        <f>+'KPL facilitair'!#REF!</f>
        <v>#REF!</v>
      </c>
      <c r="H19" s="15">
        <f>+'KPL facilitair'!H22</f>
        <v>219000</v>
      </c>
      <c r="I19" s="15">
        <f>+'KPL facilitair'!I22</f>
        <v>187127.84999999998</v>
      </c>
      <c r="J19" s="15">
        <f>+'KPL facilitair'!J22</f>
        <v>193041</v>
      </c>
      <c r="K19" s="15">
        <f>+'KPL facilitair'!K22</f>
        <v>185500</v>
      </c>
      <c r="L19" s="15">
        <f>+'KPL facilitair'!L22</f>
        <v>164000</v>
      </c>
      <c r="M19" s="15">
        <f>+'KPL facilitair'!M22</f>
        <v>164000</v>
      </c>
      <c r="N19" s="15">
        <f>+'KPL facilitair'!N22</f>
        <v>164000</v>
      </c>
      <c r="O19" s="15">
        <f>+'KPL facilitair'!O22</f>
        <v>164000</v>
      </c>
    </row>
    <row r="20" spans="2:15" s="14" customFormat="1" ht="20.25" thickTop="1">
      <c r="B20" s="50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3:15" s="14" customFormat="1" ht="18"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2:15" s="14" customFormat="1" ht="18.75" thickBot="1">
      <c r="B22" s="45" t="s">
        <v>19</v>
      </c>
      <c r="C22" s="15" t="e">
        <f>+'KPL ICT'!#REF!</f>
        <v>#REF!</v>
      </c>
      <c r="D22" s="15" t="e">
        <f>+'KPL ICT'!#REF!</f>
        <v>#REF!</v>
      </c>
      <c r="E22" s="15" t="e">
        <f>+'KPL ICT'!#REF!</f>
        <v>#REF!</v>
      </c>
      <c r="F22" s="15" t="e">
        <f>+'KPL ICT'!#REF!</f>
        <v>#REF!</v>
      </c>
      <c r="G22" s="15" t="e">
        <f>+'KPL ICT'!#REF!</f>
        <v>#REF!</v>
      </c>
      <c r="H22" s="15">
        <f>+'KPL ICT'!H14</f>
        <v>405000</v>
      </c>
      <c r="I22" s="15">
        <f>+'KPL ICT'!I14</f>
        <v>419228.47</v>
      </c>
      <c r="J22" s="15">
        <f>+'KPL ICT'!J14</f>
        <v>368040</v>
      </c>
      <c r="K22" s="15">
        <f>+'KPL ICT'!K14</f>
        <v>384000</v>
      </c>
      <c r="L22" s="15">
        <f>+'KPL ICT'!L14</f>
        <v>384000</v>
      </c>
      <c r="M22" s="15">
        <f>+'KPL ICT'!M14</f>
        <v>384000</v>
      </c>
      <c r="N22" s="15">
        <f>+'KPL ICT'!N14</f>
        <v>384000</v>
      </c>
      <c r="O22" s="15">
        <f>+'KPL ICT'!O14</f>
        <v>384000</v>
      </c>
    </row>
    <row r="23" spans="3:15" s="14" customFormat="1" ht="18.75" thickTop="1"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2:15" s="14" customFormat="1" ht="18.75" thickBot="1">
      <c r="B24" s="40" t="s">
        <v>21</v>
      </c>
      <c r="C24" s="15" t="e">
        <f>+C10+C19+C16+C22+C13</f>
        <v>#REF!</v>
      </c>
      <c r="D24" s="15" t="e">
        <f>+D10+D19+D16+D22+D13</f>
        <v>#REF!</v>
      </c>
      <c r="E24" s="15" t="e">
        <f>+E10+E19+E16+E22+E13</f>
        <v>#REF!</v>
      </c>
      <c r="F24" s="15" t="e">
        <f>+F10+F19+F16+F22+F13</f>
        <v>#REF!</v>
      </c>
      <c r="G24" s="15" t="e">
        <f aca="true" t="shared" si="0" ref="G24:N24">+G8+G10+G13+G16+G19+G22</f>
        <v>#REF!</v>
      </c>
      <c r="H24" s="15" t="e">
        <f t="shared" si="0"/>
        <v>#REF!</v>
      </c>
      <c r="I24" s="15">
        <f t="shared" si="0"/>
        <v>-30446.619999999763</v>
      </c>
      <c r="J24" s="15">
        <f t="shared" si="0"/>
        <v>1.3800000003539026</v>
      </c>
      <c r="K24" s="15">
        <f t="shared" si="0"/>
        <v>0</v>
      </c>
      <c r="L24" s="15">
        <f t="shared" si="0"/>
        <v>-0.2800000000279397</v>
      </c>
      <c r="M24" s="15">
        <f t="shared" si="0"/>
        <v>0.014399999985471368</v>
      </c>
      <c r="N24" s="15">
        <f t="shared" si="0"/>
        <v>0.39468799997121096</v>
      </c>
      <c r="O24" s="15">
        <f>+O8+O10+O13+O16+O19+O22</f>
        <v>0.4225817599799484</v>
      </c>
    </row>
    <row r="25" ht="15.75" thickTop="1"/>
    <row r="26" ht="15">
      <c r="C26" s="28"/>
    </row>
    <row r="27" ht="15">
      <c r="C27" s="28"/>
    </row>
    <row r="28" ht="15">
      <c r="C28" s="28"/>
    </row>
    <row r="29" ht="15">
      <c r="C29" s="28"/>
    </row>
    <row r="30" ht="15">
      <c r="C30" s="28"/>
    </row>
    <row r="31" ht="15">
      <c r="C31" s="28"/>
    </row>
    <row r="32" ht="15">
      <c r="C32" s="28"/>
    </row>
    <row r="33" ht="15">
      <c r="C33" s="28"/>
    </row>
    <row r="34" ht="15">
      <c r="C34" s="28"/>
    </row>
    <row r="35" ht="15">
      <c r="C35" s="28"/>
    </row>
    <row r="36" ht="15">
      <c r="C36" s="28"/>
    </row>
    <row r="37" spans="2:10" ht="15">
      <c r="B37" s="32"/>
      <c r="C37" s="28"/>
      <c r="D37" s="32"/>
      <c r="E37" s="32"/>
      <c r="F37" s="32"/>
      <c r="G37" s="32"/>
      <c r="H37" s="32"/>
      <c r="I37" s="32"/>
      <c r="J37" s="32"/>
    </row>
    <row r="38" spans="2:10" ht="15">
      <c r="B38" s="37"/>
      <c r="C38" s="36"/>
      <c r="D38" s="36"/>
      <c r="E38" s="36"/>
      <c r="F38" s="36"/>
      <c r="G38" s="36"/>
      <c r="H38" s="36"/>
      <c r="I38" s="36"/>
      <c r="J38" s="36"/>
    </row>
    <row r="39" spans="2:10" ht="15">
      <c r="B39" s="32"/>
      <c r="C39" s="32"/>
      <c r="D39" s="32"/>
      <c r="E39" s="32"/>
      <c r="F39" s="32"/>
      <c r="G39" s="32"/>
      <c r="H39" s="32"/>
      <c r="I39" s="32"/>
      <c r="J39" s="32"/>
    </row>
    <row r="40" spans="2:10" ht="15">
      <c r="B40" s="36"/>
      <c r="C40" s="33"/>
      <c r="D40" s="33"/>
      <c r="E40" s="33"/>
      <c r="F40" s="33"/>
      <c r="G40" s="33"/>
      <c r="H40" s="33"/>
      <c r="I40" s="33"/>
      <c r="J40" s="33"/>
    </row>
    <row r="41" spans="2:10" ht="15">
      <c r="B41" s="32"/>
      <c r="C41" s="38"/>
      <c r="D41" s="38"/>
      <c r="E41" s="38"/>
      <c r="F41" s="38"/>
      <c r="G41" s="38"/>
      <c r="H41" s="38"/>
      <c r="I41" s="38"/>
      <c r="J41" s="38"/>
    </row>
    <row r="42" spans="2:10" ht="15">
      <c r="B42" s="32"/>
      <c r="C42" s="33"/>
      <c r="D42" s="32"/>
      <c r="E42" s="32"/>
      <c r="F42" s="32"/>
      <c r="G42" s="32"/>
      <c r="H42" s="32"/>
      <c r="I42" s="32"/>
      <c r="J42" s="32"/>
    </row>
    <row r="43" spans="2:10" ht="15">
      <c r="B43" s="32"/>
      <c r="C43" s="33"/>
      <c r="D43" s="32"/>
      <c r="E43" s="32"/>
      <c r="F43" s="32"/>
      <c r="G43" s="32"/>
      <c r="H43" s="32"/>
      <c r="I43" s="32"/>
      <c r="J43" s="32"/>
    </row>
    <row r="44" spans="2:10" ht="15">
      <c r="B44" s="37"/>
      <c r="C44" s="36"/>
      <c r="D44" s="36"/>
      <c r="E44" s="36"/>
      <c r="F44" s="36"/>
      <c r="G44" s="36"/>
      <c r="H44" s="36"/>
      <c r="I44" s="36"/>
      <c r="J44" s="36"/>
    </row>
    <row r="45" spans="2:10" ht="15">
      <c r="B45" s="32"/>
      <c r="C45" s="32"/>
      <c r="D45" s="32"/>
      <c r="E45" s="32"/>
      <c r="F45" s="32"/>
      <c r="G45" s="32"/>
      <c r="H45" s="32"/>
      <c r="I45" s="32"/>
      <c r="J45" s="32"/>
    </row>
    <row r="46" spans="2:10" ht="15">
      <c r="B46" s="26"/>
      <c r="C46" s="36"/>
      <c r="D46" s="36"/>
      <c r="E46" s="36"/>
      <c r="F46" s="36"/>
      <c r="G46" s="36"/>
      <c r="H46" s="36"/>
      <c r="I46" s="36"/>
      <c r="J46" s="36"/>
    </row>
    <row r="48" spans="3:10" ht="15">
      <c r="C48" s="41"/>
      <c r="D48" s="41"/>
      <c r="E48" s="41"/>
      <c r="F48" s="41"/>
      <c r="G48" s="41"/>
      <c r="H48" s="41"/>
      <c r="I48" s="41"/>
      <c r="J48" s="41"/>
    </row>
  </sheetData>
  <sheetProtection/>
  <printOptions/>
  <pageMargins left="0.75" right="0.75" top="1" bottom="1" header="0.5" footer="0.5"/>
  <pageSetup horizontalDpi="600" verticalDpi="600" orientation="portrait" paperSize="9" scale="59" r:id="rId1"/>
  <headerFooter alignWithMargins="0">
    <oddFooter>&amp;LBegroting IGSD apparaatskosten 2015 - 2018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O105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11.28125" style="25" bestFit="1" customWidth="1"/>
    <col min="2" max="2" width="56.00390625" style="27" customWidth="1"/>
    <col min="3" max="4" width="14.28125" style="27" hidden="1" customWidth="1"/>
    <col min="5" max="5" width="16.421875" style="27" hidden="1" customWidth="1"/>
    <col min="6" max="6" width="14.28125" style="27" hidden="1" customWidth="1"/>
    <col min="7" max="7" width="14.8515625" style="27" hidden="1" customWidth="1"/>
    <col min="8" max="9" width="14.57421875" style="27" hidden="1" customWidth="1"/>
    <col min="10" max="10" width="14.57421875" style="27" customWidth="1"/>
    <col min="11" max="11" width="11.7109375" style="27" bestFit="1" customWidth="1"/>
    <col min="12" max="12" width="10.7109375" style="27" bestFit="1" customWidth="1"/>
    <col min="13" max="14" width="10.421875" style="27" bestFit="1" customWidth="1"/>
    <col min="15" max="15" width="9.421875" style="27" bestFit="1" customWidth="1"/>
    <col min="16" max="16384" width="9.140625" style="27" customWidth="1"/>
  </cols>
  <sheetData>
    <row r="4" s="92" customFormat="1" ht="22.5">
      <c r="B4" s="93" t="s">
        <v>129</v>
      </c>
    </row>
    <row r="5" s="92" customFormat="1" ht="22.5">
      <c r="B5" s="93"/>
    </row>
    <row r="6" spans="9:11" ht="54">
      <c r="I6" s="97" t="s">
        <v>116</v>
      </c>
      <c r="J6" s="97" t="s">
        <v>116</v>
      </c>
      <c r="K6" s="97" t="s">
        <v>117</v>
      </c>
    </row>
    <row r="7" spans="1:15" s="14" customFormat="1" ht="18">
      <c r="A7" s="12"/>
      <c r="B7" s="13" t="s">
        <v>14</v>
      </c>
      <c r="C7" s="43">
        <v>2006</v>
      </c>
      <c r="D7" s="43">
        <v>2007</v>
      </c>
      <c r="E7" s="43">
        <v>2008</v>
      </c>
      <c r="F7" s="43">
        <f>+E7+1</f>
        <v>2009</v>
      </c>
      <c r="G7" s="43">
        <f>+F7+1</f>
        <v>2010</v>
      </c>
      <c r="H7" s="43">
        <v>2012</v>
      </c>
      <c r="I7" s="43">
        <v>2011</v>
      </c>
      <c r="J7" s="43">
        <v>2013</v>
      </c>
      <c r="K7" s="43">
        <v>2014</v>
      </c>
      <c r="L7" s="43">
        <f>+K7+1</f>
        <v>2015</v>
      </c>
      <c r="M7" s="43">
        <f>+L7+1</f>
        <v>2016</v>
      </c>
      <c r="N7" s="43">
        <f>+M7+1</f>
        <v>2017</v>
      </c>
      <c r="O7" s="43">
        <f>+N7+1</f>
        <v>2018</v>
      </c>
    </row>
    <row r="8" spans="1:12" s="14" customFormat="1" ht="18">
      <c r="A8" s="12"/>
      <c r="B8" s="1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2" s="14" customFormat="1" ht="18">
      <c r="A9" s="44" t="s">
        <v>59</v>
      </c>
      <c r="B9" s="45" t="s">
        <v>60</v>
      </c>
    </row>
    <row r="10" spans="1:15" s="14" customFormat="1" ht="18">
      <c r="A10" s="44"/>
      <c r="B10" s="45"/>
      <c r="J10" s="48"/>
      <c r="K10" s="48"/>
      <c r="L10" s="48"/>
      <c r="M10" s="48"/>
      <c r="N10" s="48"/>
      <c r="O10" s="48"/>
    </row>
    <row r="11" spans="1:15" s="14" customFormat="1" ht="18">
      <c r="A11" s="47" t="s">
        <v>61</v>
      </c>
      <c r="B11" s="48" t="s">
        <v>62</v>
      </c>
      <c r="C11" s="46">
        <v>2000</v>
      </c>
      <c r="D11" s="46">
        <v>2000</v>
      </c>
      <c r="E11" s="46">
        <v>2115</v>
      </c>
      <c r="F11" s="46">
        <f>+E11</f>
        <v>2115</v>
      </c>
      <c r="G11" s="46">
        <v>45000</v>
      </c>
      <c r="H11" s="46">
        <v>22400</v>
      </c>
      <c r="I11" s="46">
        <v>28012.5</v>
      </c>
      <c r="J11" s="49">
        <v>21788</v>
      </c>
      <c r="K11" s="49">
        <v>21134</v>
      </c>
      <c r="L11" s="49">
        <v>17754</v>
      </c>
      <c r="M11" s="49">
        <v>14398</v>
      </c>
      <c r="N11" s="49">
        <v>11043</v>
      </c>
      <c r="O11" s="49">
        <v>7688</v>
      </c>
    </row>
    <row r="12" spans="1:15" s="14" customFormat="1" ht="18">
      <c r="A12" s="47" t="s">
        <v>64</v>
      </c>
      <c r="B12" s="14" t="s">
        <v>63</v>
      </c>
      <c r="C12" s="46">
        <v>20000</v>
      </c>
      <c r="D12" s="46">
        <v>20000</v>
      </c>
      <c r="E12" s="49">
        <v>20000</v>
      </c>
      <c r="F12" s="49">
        <v>20000</v>
      </c>
      <c r="G12" s="49">
        <v>90000</v>
      </c>
      <c r="H12" s="49">
        <v>78806</v>
      </c>
      <c r="I12" s="49">
        <v>100279.67</v>
      </c>
      <c r="J12" s="49">
        <v>92634</v>
      </c>
      <c r="K12" s="49">
        <v>88565</v>
      </c>
      <c r="L12" s="49">
        <v>87976</v>
      </c>
      <c r="M12" s="49">
        <v>87975</v>
      </c>
      <c r="N12" s="49">
        <v>87975</v>
      </c>
      <c r="O12" s="49">
        <v>74708</v>
      </c>
    </row>
    <row r="13" spans="1:15" s="14" customFormat="1" ht="18.75" thickBot="1">
      <c r="A13" s="12"/>
      <c r="C13" s="15">
        <f aca="true" t="shared" si="0" ref="C13:O13">SUM(C11:C12)</f>
        <v>22000</v>
      </c>
      <c r="D13" s="15">
        <f t="shared" si="0"/>
        <v>22000</v>
      </c>
      <c r="E13" s="69">
        <f t="shared" si="0"/>
        <v>22115</v>
      </c>
      <c r="F13" s="69">
        <f t="shared" si="0"/>
        <v>22115</v>
      </c>
      <c r="G13" s="69">
        <f t="shared" si="0"/>
        <v>135000</v>
      </c>
      <c r="H13" s="69">
        <f t="shared" si="0"/>
        <v>101206</v>
      </c>
      <c r="I13" s="69">
        <f>SUM(I11:I12)</f>
        <v>128292.17</v>
      </c>
      <c r="J13" s="99">
        <f>SUM(J11:J12)</f>
        <v>114422</v>
      </c>
      <c r="K13" s="99">
        <f t="shared" si="0"/>
        <v>109699</v>
      </c>
      <c r="L13" s="99">
        <f t="shared" si="0"/>
        <v>105730</v>
      </c>
      <c r="M13" s="99">
        <f t="shared" si="0"/>
        <v>102373</v>
      </c>
      <c r="N13" s="99">
        <f t="shared" si="0"/>
        <v>99018</v>
      </c>
      <c r="O13" s="99">
        <f t="shared" si="0"/>
        <v>82396</v>
      </c>
    </row>
    <row r="14" spans="1:15" s="14" customFormat="1" ht="18.75" thickTop="1">
      <c r="A14" s="12"/>
      <c r="C14" s="35"/>
      <c r="D14" s="35"/>
      <c r="E14" s="35"/>
      <c r="F14" s="35"/>
      <c r="G14" s="35"/>
      <c r="H14" s="35"/>
      <c r="I14" s="35"/>
      <c r="J14" s="104"/>
      <c r="K14" s="104"/>
      <c r="L14" s="104"/>
      <c r="M14" s="48"/>
      <c r="N14" s="48"/>
      <c r="O14" s="48"/>
    </row>
    <row r="15" spans="1:15" s="14" customFormat="1" ht="36">
      <c r="A15" s="12"/>
      <c r="C15" s="35"/>
      <c r="D15" s="35"/>
      <c r="E15" s="35"/>
      <c r="F15" s="35"/>
      <c r="G15" s="35"/>
      <c r="H15" s="35"/>
      <c r="I15" s="97" t="str">
        <f>+I6</f>
        <v>werkelijke cijfers</v>
      </c>
      <c r="J15" s="101" t="str">
        <f>+J6</f>
        <v>werkelijke cijfers</v>
      </c>
      <c r="K15" s="104"/>
      <c r="L15" s="104"/>
      <c r="M15" s="48"/>
      <c r="N15" s="48"/>
      <c r="O15" s="48"/>
    </row>
    <row r="16" spans="1:15" s="14" customFormat="1" ht="18">
      <c r="A16" s="12"/>
      <c r="B16" s="13" t="s">
        <v>51</v>
      </c>
      <c r="C16" s="71">
        <v>2006</v>
      </c>
      <c r="D16" s="43">
        <v>2007</v>
      </c>
      <c r="E16" s="43">
        <v>2008</v>
      </c>
      <c r="F16" s="43">
        <f>+E16+1</f>
        <v>2009</v>
      </c>
      <c r="G16" s="43">
        <f>+F16+1</f>
        <v>2010</v>
      </c>
      <c r="H16" s="43">
        <f>+H7</f>
        <v>2012</v>
      </c>
      <c r="I16" s="43">
        <f>+I7</f>
        <v>2011</v>
      </c>
      <c r="J16" s="71">
        <f>+J7</f>
        <v>2013</v>
      </c>
      <c r="K16" s="71">
        <f>+K7</f>
        <v>2014</v>
      </c>
      <c r="L16" s="71">
        <f>+L7</f>
        <v>2015</v>
      </c>
      <c r="M16" s="71">
        <f>+M7</f>
        <v>2016</v>
      </c>
      <c r="N16" s="71">
        <f>+N7</f>
        <v>2017</v>
      </c>
      <c r="O16" s="71">
        <f>+O7</f>
        <v>2018</v>
      </c>
    </row>
    <row r="17" spans="1:15" s="14" customFormat="1" ht="18">
      <c r="A17" s="47" t="s">
        <v>61</v>
      </c>
      <c r="B17" s="14" t="s">
        <v>65</v>
      </c>
      <c r="C17" s="35"/>
      <c r="D17" s="35"/>
      <c r="E17" s="19">
        <v>3082000</v>
      </c>
      <c r="F17" s="19">
        <f>3242510-17000-13499-52000</f>
        <v>3160011</v>
      </c>
      <c r="G17" s="19">
        <v>50000</v>
      </c>
      <c r="H17" s="19">
        <v>5000</v>
      </c>
      <c r="I17" s="19">
        <v>32560.64</v>
      </c>
      <c r="J17" s="100">
        <v>-11</v>
      </c>
      <c r="K17" s="100">
        <v>2500</v>
      </c>
      <c r="L17" s="100">
        <v>0</v>
      </c>
      <c r="M17" s="100">
        <v>0</v>
      </c>
      <c r="N17" s="100">
        <v>0</v>
      </c>
      <c r="O17" s="100">
        <v>0</v>
      </c>
    </row>
    <row r="18" spans="1:15" s="16" customFormat="1" ht="18.75" thickBot="1">
      <c r="A18" s="72" t="s">
        <v>66</v>
      </c>
      <c r="B18" s="16" t="s">
        <v>60</v>
      </c>
      <c r="C18" s="19"/>
      <c r="D18" s="19"/>
      <c r="E18" s="69">
        <f>+E17</f>
        <v>3082000</v>
      </c>
      <c r="F18" s="69">
        <f>+F17</f>
        <v>3160011</v>
      </c>
      <c r="G18" s="19">
        <v>135000</v>
      </c>
      <c r="H18" s="19">
        <f>+H13</f>
        <v>101206</v>
      </c>
      <c r="I18" s="19">
        <v>132793.22</v>
      </c>
      <c r="J18" s="100">
        <v>117960</v>
      </c>
      <c r="K18" s="100">
        <f>+K13</f>
        <v>109699</v>
      </c>
      <c r="L18" s="100">
        <f>+L13</f>
        <v>105730</v>
      </c>
      <c r="M18" s="100">
        <f>+M13</f>
        <v>102373</v>
      </c>
      <c r="N18" s="100">
        <f>+N13</f>
        <v>99018</v>
      </c>
      <c r="O18" s="100">
        <f>+O13</f>
        <v>82396</v>
      </c>
    </row>
    <row r="19" spans="1:15" s="16" customFormat="1" ht="19.5" thickBot="1" thickTop="1">
      <c r="A19" s="72"/>
      <c r="C19" s="19"/>
      <c r="D19" s="19"/>
      <c r="E19" s="69"/>
      <c r="F19" s="69"/>
      <c r="G19" s="69">
        <f aca="true" t="shared" si="1" ref="G19:O19">SUM(G17:G18)</f>
        <v>185000</v>
      </c>
      <c r="H19" s="69">
        <f t="shared" si="1"/>
        <v>106206</v>
      </c>
      <c r="I19" s="69">
        <f>SUM(I17:I18)</f>
        <v>165353.86</v>
      </c>
      <c r="J19" s="99">
        <f>SUM(J17:J18)</f>
        <v>117949</v>
      </c>
      <c r="K19" s="99">
        <f t="shared" si="1"/>
        <v>112199</v>
      </c>
      <c r="L19" s="99">
        <f t="shared" si="1"/>
        <v>105730</v>
      </c>
      <c r="M19" s="99">
        <f t="shared" si="1"/>
        <v>102373</v>
      </c>
      <c r="N19" s="99">
        <f t="shared" si="1"/>
        <v>99018</v>
      </c>
      <c r="O19" s="99">
        <f t="shared" si="1"/>
        <v>82396</v>
      </c>
    </row>
    <row r="20" spans="1:15" s="16" customFormat="1" ht="19.5" thickBot="1" thickTop="1">
      <c r="A20" s="72"/>
      <c r="C20" s="19"/>
      <c r="D20" s="19"/>
      <c r="E20" s="69"/>
      <c r="F20" s="69"/>
      <c r="G20" s="19"/>
      <c r="H20" s="19"/>
      <c r="I20" s="19"/>
      <c r="J20" s="100"/>
      <c r="K20" s="100"/>
      <c r="L20" s="100"/>
      <c r="M20" s="100"/>
      <c r="N20" s="100"/>
      <c r="O20" s="100"/>
    </row>
    <row r="21" spans="1:15" s="14" customFormat="1" ht="19.5" thickBot="1" thickTop="1">
      <c r="A21" s="12"/>
      <c r="B21" s="54" t="s">
        <v>50</v>
      </c>
      <c r="C21" s="43"/>
      <c r="D21" s="55">
        <f>+D13-D18</f>
        <v>22000</v>
      </c>
      <c r="E21" s="70">
        <f>+E13-E18</f>
        <v>-3059885</v>
      </c>
      <c r="F21" s="70">
        <f>+F13-F18</f>
        <v>-3137896</v>
      </c>
      <c r="G21" s="70">
        <f aca="true" t="shared" si="2" ref="G21:N21">+G13-G19</f>
        <v>-50000</v>
      </c>
      <c r="H21" s="70">
        <f t="shared" si="2"/>
        <v>-5000</v>
      </c>
      <c r="I21" s="70">
        <f t="shared" si="2"/>
        <v>-37061.68999999999</v>
      </c>
      <c r="J21" s="70">
        <f t="shared" si="2"/>
        <v>-3527</v>
      </c>
      <c r="K21" s="70">
        <f t="shared" si="2"/>
        <v>-2500</v>
      </c>
      <c r="L21" s="70">
        <f t="shared" si="2"/>
        <v>0</v>
      </c>
      <c r="M21" s="70">
        <f t="shared" si="2"/>
        <v>0</v>
      </c>
      <c r="N21" s="70">
        <f t="shared" si="2"/>
        <v>0</v>
      </c>
      <c r="O21" s="70">
        <f>+O13-O19</f>
        <v>0</v>
      </c>
    </row>
    <row r="22" spans="1:10" s="16" customFormat="1" ht="18.75" thickTop="1">
      <c r="A22" s="53"/>
      <c r="C22" s="19"/>
      <c r="D22" s="19"/>
      <c r="E22" s="35"/>
      <c r="F22" s="35"/>
      <c r="G22" s="35"/>
      <c r="H22" s="35"/>
      <c r="I22" s="35"/>
      <c r="J22" s="35"/>
    </row>
    <row r="23" spans="1:10" s="16" customFormat="1" ht="18">
      <c r="A23" s="53"/>
      <c r="C23" s="19"/>
      <c r="D23" s="19"/>
      <c r="E23" s="35"/>
      <c r="F23" s="35"/>
      <c r="G23" s="35"/>
      <c r="H23" s="35"/>
      <c r="I23" s="35"/>
      <c r="J23" s="35"/>
    </row>
    <row r="24" spans="1:7" s="16" customFormat="1" ht="18">
      <c r="A24" s="53"/>
      <c r="B24" s="56" t="s">
        <v>49</v>
      </c>
      <c r="C24" s="19"/>
      <c r="D24" s="19"/>
      <c r="E24" s="19"/>
      <c r="F24" s="19"/>
      <c r="G24" s="19"/>
    </row>
    <row r="25" spans="1:7" s="16" customFormat="1" ht="18">
      <c r="A25" s="12"/>
      <c r="B25" s="57" t="s">
        <v>100</v>
      </c>
      <c r="C25" s="46"/>
      <c r="D25" s="19"/>
      <c r="E25" s="19"/>
      <c r="F25" s="19"/>
      <c r="G25" s="19"/>
    </row>
    <row r="26" spans="1:7" s="16" customFormat="1" ht="18">
      <c r="A26" s="12"/>
      <c r="C26" s="46"/>
      <c r="D26" s="19"/>
      <c r="E26" s="19"/>
      <c r="F26" s="19"/>
      <c r="G26" s="19"/>
    </row>
    <row r="27" spans="1:3" s="16" customFormat="1" ht="18">
      <c r="A27" s="47"/>
      <c r="B27" s="16" t="s">
        <v>137</v>
      </c>
      <c r="C27" s="46"/>
    </row>
    <row r="28" spans="1:3" s="16" customFormat="1" ht="18">
      <c r="A28" s="12"/>
      <c r="B28" s="16" t="s">
        <v>136</v>
      </c>
      <c r="C28" s="46"/>
    </row>
    <row r="29" spans="1:3" s="16" customFormat="1" ht="18">
      <c r="A29" s="12"/>
      <c r="B29" s="58"/>
      <c r="C29" s="46"/>
    </row>
    <row r="30" spans="1:3" s="16" customFormat="1" ht="18">
      <c r="A30" s="12"/>
      <c r="B30" s="58"/>
      <c r="C30" s="46"/>
    </row>
    <row r="31" spans="1:3" s="16" customFormat="1" ht="18">
      <c r="A31" s="53"/>
      <c r="B31" s="58"/>
      <c r="C31" s="59"/>
    </row>
    <row r="32" spans="1:2" s="16" customFormat="1" ht="18">
      <c r="A32" s="53"/>
      <c r="B32" s="58"/>
    </row>
    <row r="33" spans="1:2" s="16" customFormat="1" ht="18">
      <c r="A33" s="53"/>
      <c r="B33" s="58"/>
    </row>
    <row r="34" spans="1:7" s="16" customFormat="1" ht="18">
      <c r="A34" s="53"/>
      <c r="C34" s="19"/>
      <c r="D34" s="19"/>
      <c r="E34" s="19"/>
      <c r="F34" s="19"/>
      <c r="G34" s="19"/>
    </row>
    <row r="35" spans="1:7" s="16" customFormat="1" ht="18">
      <c r="A35" s="53"/>
      <c r="C35" s="19"/>
      <c r="D35" s="19"/>
      <c r="E35" s="19"/>
      <c r="F35" s="19"/>
      <c r="G35" s="19"/>
    </row>
    <row r="36" spans="1:7" s="16" customFormat="1" ht="18">
      <c r="A36" s="53"/>
      <c r="C36" s="19"/>
      <c r="D36" s="19"/>
      <c r="E36" s="19"/>
      <c r="F36" s="19"/>
      <c r="G36" s="19"/>
    </row>
    <row r="37" spans="1:7" s="16" customFormat="1" ht="18">
      <c r="A37" s="53"/>
      <c r="C37" s="19"/>
      <c r="D37" s="19"/>
      <c r="E37" s="19"/>
      <c r="F37" s="19"/>
      <c r="G37" s="19"/>
    </row>
    <row r="38" spans="1:7" s="16" customFormat="1" ht="18">
      <c r="A38" s="53"/>
      <c r="C38" s="19"/>
      <c r="D38" s="19"/>
      <c r="E38" s="19"/>
      <c r="F38" s="19"/>
      <c r="G38" s="19"/>
    </row>
    <row r="39" spans="1:7" s="16" customFormat="1" ht="18">
      <c r="A39" s="53"/>
      <c r="C39" s="19"/>
      <c r="D39" s="19"/>
      <c r="E39" s="19"/>
      <c r="F39" s="19"/>
      <c r="G39" s="19"/>
    </row>
    <row r="40" spans="1:7" s="16" customFormat="1" ht="18">
      <c r="A40" s="53"/>
      <c r="C40" s="19"/>
      <c r="D40" s="35"/>
      <c r="E40" s="35"/>
      <c r="F40" s="35"/>
      <c r="G40" s="35"/>
    </row>
    <row r="41" spans="1:7" s="16" customFormat="1" ht="19.5">
      <c r="A41" s="53"/>
      <c r="B41" s="60"/>
      <c r="C41" s="19"/>
      <c r="D41" s="19"/>
      <c r="E41" s="19"/>
      <c r="F41" s="19"/>
      <c r="G41" s="19"/>
    </row>
    <row r="42" spans="1:7" s="16" customFormat="1" ht="18">
      <c r="A42" s="53"/>
      <c r="C42" s="19"/>
      <c r="D42" s="19"/>
      <c r="E42" s="19"/>
      <c r="F42" s="19"/>
      <c r="G42" s="19"/>
    </row>
    <row r="43" spans="1:7" s="16" customFormat="1" ht="18">
      <c r="A43" s="53"/>
      <c r="C43" s="19"/>
      <c r="D43" s="19"/>
      <c r="E43" s="19"/>
      <c r="F43" s="19"/>
      <c r="G43" s="19"/>
    </row>
    <row r="44" spans="1:7" s="16" customFormat="1" ht="18">
      <c r="A44" s="53"/>
      <c r="B44" s="56"/>
      <c r="C44" s="19"/>
      <c r="D44" s="19"/>
      <c r="E44" s="19"/>
      <c r="F44" s="19"/>
      <c r="G44" s="19"/>
    </row>
    <row r="45" spans="1:7" s="16" customFormat="1" ht="18">
      <c r="A45" s="53"/>
      <c r="C45" s="19"/>
      <c r="D45" s="19"/>
      <c r="E45" s="19"/>
      <c r="F45" s="19"/>
      <c r="G45" s="19"/>
    </row>
    <row r="46" spans="1:7" s="16" customFormat="1" ht="18">
      <c r="A46" s="53"/>
      <c r="C46" s="19"/>
      <c r="D46" s="19"/>
      <c r="E46" s="19"/>
      <c r="F46" s="19"/>
      <c r="G46" s="19"/>
    </row>
    <row r="47" spans="1:7" s="16" customFormat="1" ht="18">
      <c r="A47" s="53"/>
      <c r="C47" s="19"/>
      <c r="D47" s="19"/>
      <c r="E47" s="19"/>
      <c r="F47" s="19"/>
      <c r="G47" s="19"/>
    </row>
    <row r="48" spans="1:7" s="16" customFormat="1" ht="18">
      <c r="A48" s="53"/>
      <c r="C48" s="19"/>
      <c r="D48" s="19"/>
      <c r="E48" s="19"/>
      <c r="F48" s="19"/>
      <c r="G48" s="19"/>
    </row>
    <row r="49" spans="1:7" s="16" customFormat="1" ht="18">
      <c r="A49" s="53"/>
      <c r="C49" s="19"/>
      <c r="D49" s="19"/>
      <c r="E49" s="19"/>
      <c r="F49" s="19"/>
      <c r="G49" s="19"/>
    </row>
    <row r="50" spans="1:7" s="16" customFormat="1" ht="18">
      <c r="A50" s="53"/>
      <c r="C50" s="19"/>
      <c r="D50" s="19"/>
      <c r="E50" s="19"/>
      <c r="F50" s="19"/>
      <c r="G50" s="19"/>
    </row>
    <row r="51" spans="1:7" s="16" customFormat="1" ht="18">
      <c r="A51" s="53"/>
      <c r="C51" s="19"/>
      <c r="D51" s="19"/>
      <c r="E51" s="19"/>
      <c r="F51" s="19"/>
      <c r="G51" s="19"/>
    </row>
    <row r="52" spans="1:7" s="16" customFormat="1" ht="18">
      <c r="A52" s="53"/>
      <c r="C52" s="19"/>
      <c r="D52" s="19"/>
      <c r="E52" s="19"/>
      <c r="F52" s="19"/>
      <c r="G52" s="19"/>
    </row>
    <row r="53" spans="1:7" s="16" customFormat="1" ht="18">
      <c r="A53" s="53"/>
      <c r="C53" s="19"/>
      <c r="D53" s="19"/>
      <c r="E53" s="19"/>
      <c r="F53" s="19"/>
      <c r="G53" s="19"/>
    </row>
    <row r="54" spans="1:7" s="16" customFormat="1" ht="18">
      <c r="A54" s="53"/>
      <c r="C54" s="19"/>
      <c r="D54" s="35"/>
      <c r="E54" s="35"/>
      <c r="F54" s="35"/>
      <c r="G54" s="35"/>
    </row>
    <row r="55" spans="1:7" s="16" customFormat="1" ht="18">
      <c r="A55" s="53"/>
      <c r="C55" s="19"/>
      <c r="D55" s="19"/>
      <c r="E55" s="19"/>
      <c r="F55" s="19"/>
      <c r="G55" s="19"/>
    </row>
    <row r="56" spans="1:7" s="16" customFormat="1" ht="18">
      <c r="A56" s="53"/>
      <c r="C56" s="19"/>
      <c r="D56" s="19"/>
      <c r="E56" s="19"/>
      <c r="F56" s="19"/>
      <c r="G56" s="19"/>
    </row>
    <row r="57" spans="1:7" s="16" customFormat="1" ht="18">
      <c r="A57" s="53"/>
      <c r="B57" s="56"/>
      <c r="C57" s="19"/>
      <c r="D57" s="19"/>
      <c r="E57" s="19"/>
      <c r="F57" s="19"/>
      <c r="G57" s="19"/>
    </row>
    <row r="58" spans="1:7" s="16" customFormat="1" ht="18">
      <c r="A58" s="53"/>
      <c r="C58" s="19"/>
      <c r="D58" s="19"/>
      <c r="E58" s="19"/>
      <c r="F58" s="19"/>
      <c r="G58" s="19"/>
    </row>
    <row r="59" spans="1:7" s="16" customFormat="1" ht="18">
      <c r="A59" s="53"/>
      <c r="C59" s="19"/>
      <c r="D59" s="19"/>
      <c r="E59" s="19"/>
      <c r="F59" s="19"/>
      <c r="G59" s="19"/>
    </row>
    <row r="60" spans="1:7" s="16" customFormat="1" ht="18">
      <c r="A60" s="53"/>
      <c r="C60" s="19"/>
      <c r="D60" s="19"/>
      <c r="E60" s="19"/>
      <c r="F60" s="19"/>
      <c r="G60" s="19"/>
    </row>
    <row r="61" spans="1:7" s="16" customFormat="1" ht="18">
      <c r="A61" s="53"/>
      <c r="C61" s="19"/>
      <c r="D61" s="19"/>
      <c r="E61" s="19"/>
      <c r="F61" s="19"/>
      <c r="G61" s="19"/>
    </row>
    <row r="62" spans="1:7" s="16" customFormat="1" ht="18">
      <c r="A62" s="53"/>
      <c r="C62" s="19"/>
      <c r="D62" s="19"/>
      <c r="E62" s="19"/>
      <c r="F62" s="19"/>
      <c r="G62" s="19"/>
    </row>
    <row r="63" spans="1:7" s="16" customFormat="1" ht="18">
      <c r="A63" s="53"/>
      <c r="C63" s="19"/>
      <c r="D63" s="19"/>
      <c r="E63" s="19"/>
      <c r="F63" s="19"/>
      <c r="G63" s="19"/>
    </row>
    <row r="64" spans="1:7" s="16" customFormat="1" ht="18">
      <c r="A64" s="53"/>
      <c r="D64" s="35"/>
      <c r="E64" s="35"/>
      <c r="F64" s="35"/>
      <c r="G64" s="35"/>
    </row>
    <row r="65" s="16" customFormat="1" ht="18">
      <c r="A65" s="53"/>
    </row>
    <row r="66" s="16" customFormat="1" ht="18">
      <c r="A66" s="53"/>
    </row>
    <row r="67" spans="1:7" s="16" customFormat="1" ht="18">
      <c r="A67" s="53"/>
      <c r="B67" s="17"/>
      <c r="C67" s="35"/>
      <c r="D67" s="35"/>
      <c r="E67" s="35"/>
      <c r="F67" s="35"/>
      <c r="G67" s="35"/>
    </row>
    <row r="68" s="16" customFormat="1" ht="18">
      <c r="A68" s="53"/>
    </row>
    <row r="69" spans="1:2" s="16" customFormat="1" ht="18">
      <c r="A69" s="53"/>
      <c r="B69" s="18"/>
    </row>
    <row r="70" s="16" customFormat="1" ht="18">
      <c r="A70" s="53"/>
    </row>
    <row r="71" s="16" customFormat="1" ht="18">
      <c r="A71" s="53"/>
    </row>
    <row r="72" s="16" customFormat="1" ht="18">
      <c r="A72" s="53"/>
    </row>
    <row r="73" s="16" customFormat="1" ht="18">
      <c r="A73" s="53"/>
    </row>
    <row r="74" spans="1:7" s="16" customFormat="1" ht="18">
      <c r="A74" s="53"/>
      <c r="C74" s="19"/>
      <c r="D74" s="19"/>
      <c r="E74" s="19"/>
      <c r="F74" s="19"/>
      <c r="G74" s="19"/>
    </row>
    <row r="75" spans="1:7" s="16" customFormat="1" ht="18">
      <c r="A75" s="53"/>
      <c r="C75" s="35"/>
      <c r="D75" s="19"/>
      <c r="E75" s="19"/>
      <c r="F75" s="19"/>
      <c r="G75" s="19"/>
    </row>
    <row r="76" spans="1:7" s="16" customFormat="1" ht="18">
      <c r="A76" s="53"/>
      <c r="B76" s="17"/>
      <c r="C76" s="35"/>
      <c r="D76" s="35"/>
      <c r="E76" s="35"/>
      <c r="F76" s="35"/>
      <c r="G76" s="35"/>
    </row>
    <row r="77" spans="1:2" s="16" customFormat="1" ht="18">
      <c r="A77" s="53"/>
      <c r="B77" s="18"/>
    </row>
    <row r="78" spans="1:3" s="16" customFormat="1" ht="18">
      <c r="A78" s="53"/>
      <c r="C78" s="19"/>
    </row>
    <row r="79" spans="1:3" s="16" customFormat="1" ht="18">
      <c r="A79" s="53"/>
      <c r="C79" s="19"/>
    </row>
    <row r="80" spans="1:3" s="16" customFormat="1" ht="18">
      <c r="A80" s="53"/>
      <c r="C80" s="19"/>
    </row>
    <row r="81" spans="1:3" s="16" customFormat="1" ht="18">
      <c r="A81" s="53"/>
      <c r="C81" s="19"/>
    </row>
    <row r="82" spans="1:3" s="16" customFormat="1" ht="18">
      <c r="A82" s="53"/>
      <c r="C82" s="19"/>
    </row>
    <row r="83" spans="1:3" s="16" customFormat="1" ht="18">
      <c r="A83" s="53"/>
      <c r="C83" s="19"/>
    </row>
    <row r="84" spans="1:3" s="32" customFormat="1" ht="15">
      <c r="A84" s="31"/>
      <c r="C84" s="33"/>
    </row>
    <row r="85" spans="1:3" s="32" customFormat="1" ht="15">
      <c r="A85" s="31"/>
      <c r="C85" s="30"/>
    </row>
    <row r="86" s="32" customFormat="1" ht="15">
      <c r="A86" s="31"/>
    </row>
    <row r="87" s="32" customFormat="1" ht="15">
      <c r="A87" s="31"/>
    </row>
    <row r="88" s="32" customFormat="1" ht="15">
      <c r="A88" s="31"/>
    </row>
    <row r="89" s="32" customFormat="1" ht="15">
      <c r="A89" s="31"/>
    </row>
    <row r="90" spans="1:7" s="32" customFormat="1" ht="15">
      <c r="A90" s="31"/>
      <c r="B90" s="37"/>
      <c r="C90" s="36"/>
      <c r="D90" s="36"/>
      <c r="E90" s="36"/>
      <c r="F90" s="36"/>
      <c r="G90" s="36"/>
    </row>
    <row r="91" s="32" customFormat="1" ht="15">
      <c r="A91" s="31"/>
    </row>
    <row r="92" spans="1:7" s="32" customFormat="1" ht="15">
      <c r="A92" s="31"/>
      <c r="B92" s="36"/>
      <c r="C92" s="33"/>
      <c r="D92" s="33"/>
      <c r="E92" s="33"/>
      <c r="F92" s="33"/>
      <c r="G92" s="33"/>
    </row>
    <row r="93" spans="1:7" s="32" customFormat="1" ht="15">
      <c r="A93" s="31"/>
      <c r="C93" s="38"/>
      <c r="D93" s="38"/>
      <c r="E93" s="38"/>
      <c r="F93" s="38"/>
      <c r="G93" s="38"/>
    </row>
    <row r="94" spans="1:3" s="32" customFormat="1" ht="15">
      <c r="A94" s="31"/>
      <c r="C94" s="33"/>
    </row>
    <row r="95" spans="1:3" s="32" customFormat="1" ht="15">
      <c r="A95" s="31"/>
      <c r="C95" s="33"/>
    </row>
    <row r="96" spans="1:7" s="32" customFormat="1" ht="15">
      <c r="A96" s="31"/>
      <c r="B96" s="37"/>
      <c r="C96" s="36"/>
      <c r="D96" s="36"/>
      <c r="E96" s="36"/>
      <c r="F96" s="36"/>
      <c r="G96" s="36"/>
    </row>
    <row r="97" s="32" customFormat="1" ht="15">
      <c r="A97" s="31"/>
    </row>
    <row r="98" spans="1:7" s="32" customFormat="1" ht="15">
      <c r="A98" s="31"/>
      <c r="B98" s="36"/>
      <c r="C98" s="36"/>
      <c r="D98" s="36"/>
      <c r="E98" s="36"/>
      <c r="F98" s="36"/>
      <c r="G98" s="36"/>
    </row>
    <row r="99" s="32" customFormat="1" ht="15">
      <c r="A99" s="31"/>
    </row>
    <row r="100" spans="1:7" s="32" customFormat="1" ht="15">
      <c r="A100" s="31"/>
      <c r="C100" s="39"/>
      <c r="D100" s="39"/>
      <c r="E100" s="39"/>
      <c r="F100" s="39"/>
      <c r="G100" s="39"/>
    </row>
    <row r="101" s="32" customFormat="1" ht="15">
      <c r="A101" s="31"/>
    </row>
    <row r="102" s="32" customFormat="1" ht="15">
      <c r="A102" s="31"/>
    </row>
    <row r="103" s="32" customFormat="1" ht="15">
      <c r="A103" s="31"/>
    </row>
    <row r="104" s="32" customFormat="1" ht="15">
      <c r="A104" s="31"/>
    </row>
    <row r="105" s="32" customFormat="1" ht="15">
      <c r="A105" s="31"/>
    </row>
  </sheetData>
  <sheetProtection/>
  <printOptions/>
  <pageMargins left="0.75" right="0.75" top="1" bottom="1" header="0.5" footer="0.5"/>
  <pageSetup horizontalDpi="600" verticalDpi="600" orientation="portrait" paperSize="9" scale="59" r:id="rId1"/>
  <headerFooter alignWithMargins="0">
    <oddFooter>&amp;LBegroting IGSD apparaatskosten 2015 - 2018&amp;R37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O109"/>
  <sheetViews>
    <sheetView zoomScale="75" zoomScaleNormal="75" zoomScalePageLayoutView="0" workbookViewId="0" topLeftCell="A1">
      <selection activeCell="Q20" sqref="Q20"/>
    </sheetView>
  </sheetViews>
  <sheetFormatPr defaultColWidth="9.140625" defaultRowHeight="12.75"/>
  <cols>
    <col min="1" max="1" width="11.421875" style="25" bestFit="1" customWidth="1"/>
    <col min="2" max="2" width="56.00390625" style="27" customWidth="1"/>
    <col min="3" max="4" width="14.28125" style="27" hidden="1" customWidth="1"/>
    <col min="5" max="5" width="16.421875" style="27" hidden="1" customWidth="1"/>
    <col min="6" max="6" width="14.28125" style="27" hidden="1" customWidth="1"/>
    <col min="7" max="7" width="14.8515625" style="27" hidden="1" customWidth="1"/>
    <col min="8" max="9" width="14.57421875" style="27" hidden="1" customWidth="1"/>
    <col min="10" max="10" width="14.57421875" style="27" customWidth="1"/>
    <col min="11" max="11" width="14.140625" style="27" bestFit="1" customWidth="1"/>
    <col min="12" max="15" width="13.140625" style="27" customWidth="1"/>
    <col min="16" max="16384" width="9.140625" style="27" customWidth="1"/>
  </cols>
  <sheetData>
    <row r="4" ht="22.5">
      <c r="B4" s="93" t="s">
        <v>129</v>
      </c>
    </row>
    <row r="5" ht="25.5">
      <c r="B5" s="29"/>
    </row>
    <row r="6" spans="9:11" ht="54">
      <c r="I6" s="97" t="s">
        <v>116</v>
      </c>
      <c r="J6" s="97" t="s">
        <v>116</v>
      </c>
      <c r="K6" s="97" t="s">
        <v>117</v>
      </c>
    </row>
    <row r="7" spans="1:15" s="14" customFormat="1" ht="18">
      <c r="A7" s="12"/>
      <c r="B7" s="13" t="s">
        <v>14</v>
      </c>
      <c r="C7" s="43">
        <v>2006</v>
      </c>
      <c r="D7" s="43">
        <v>2007</v>
      </c>
      <c r="E7" s="43">
        <v>2008</v>
      </c>
      <c r="F7" s="43">
        <f>+E7+1</f>
        <v>2009</v>
      </c>
      <c r="G7" s="43">
        <f>+F7+1</f>
        <v>2010</v>
      </c>
      <c r="H7" s="43">
        <v>2012</v>
      </c>
      <c r="I7" s="43">
        <v>2011</v>
      </c>
      <c r="J7" s="43">
        <v>2013</v>
      </c>
      <c r="K7" s="43">
        <v>2014</v>
      </c>
      <c r="L7" s="43">
        <f>+K7+1</f>
        <v>2015</v>
      </c>
      <c r="M7" s="43">
        <f>+L7+1</f>
        <v>2016</v>
      </c>
      <c r="N7" s="43">
        <f>+M7+1</f>
        <v>2017</v>
      </c>
      <c r="O7" s="43">
        <f>+N7+1</f>
        <v>2018</v>
      </c>
    </row>
    <row r="8" spans="1:15" s="14" customFormat="1" ht="18">
      <c r="A8" s="12"/>
      <c r="B8" s="1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2" s="14" customFormat="1" ht="18">
      <c r="A9" s="44" t="s">
        <v>26</v>
      </c>
      <c r="B9" s="45" t="s">
        <v>17</v>
      </c>
    </row>
    <row r="10" spans="1:15" s="14" customFormat="1" ht="18">
      <c r="A10" s="12">
        <v>34301</v>
      </c>
      <c r="B10" s="48" t="s">
        <v>5</v>
      </c>
      <c r="C10" s="46">
        <v>2000</v>
      </c>
      <c r="D10" s="46">
        <v>2000</v>
      </c>
      <c r="E10" s="46">
        <v>2115</v>
      </c>
      <c r="F10" s="46">
        <v>2000</v>
      </c>
      <c r="G10" s="46">
        <v>2000</v>
      </c>
      <c r="H10" s="49"/>
      <c r="I10" s="49">
        <v>100</v>
      </c>
      <c r="J10" s="49">
        <v>0</v>
      </c>
      <c r="K10" s="49">
        <f>+H10</f>
        <v>0</v>
      </c>
      <c r="L10" s="49">
        <f aca="true" t="shared" si="0" ref="L10:N14">+K10</f>
        <v>0</v>
      </c>
      <c r="M10" s="49">
        <f t="shared" si="0"/>
        <v>0</v>
      </c>
      <c r="N10" s="49">
        <f t="shared" si="0"/>
        <v>0</v>
      </c>
      <c r="O10" s="49">
        <f>+N10</f>
        <v>0</v>
      </c>
    </row>
    <row r="11" spans="1:15" s="14" customFormat="1" ht="18">
      <c r="A11" s="12">
        <v>34302</v>
      </c>
      <c r="B11" s="14" t="s">
        <v>23</v>
      </c>
      <c r="C11" s="46">
        <v>20000</v>
      </c>
      <c r="D11" s="46">
        <v>20000</v>
      </c>
      <c r="E11" s="49">
        <v>20000</v>
      </c>
      <c r="F11" s="49">
        <v>20000</v>
      </c>
      <c r="G11" s="49">
        <v>20000</v>
      </c>
      <c r="H11" s="49">
        <v>15000</v>
      </c>
      <c r="I11" s="49">
        <v>9751.41</v>
      </c>
      <c r="J11" s="49">
        <v>14302</v>
      </c>
      <c r="K11" s="49">
        <v>20000</v>
      </c>
      <c r="L11" s="49">
        <v>20000</v>
      </c>
      <c r="M11" s="49">
        <f t="shared" si="0"/>
        <v>20000</v>
      </c>
      <c r="N11" s="49">
        <f t="shared" si="0"/>
        <v>20000</v>
      </c>
      <c r="O11" s="49">
        <f>+N11</f>
        <v>20000</v>
      </c>
    </row>
    <row r="12" spans="1:15" s="14" customFormat="1" ht="18">
      <c r="A12" s="51">
        <v>34303</v>
      </c>
      <c r="B12" s="52" t="s">
        <v>71</v>
      </c>
      <c r="C12" s="46">
        <v>55000</v>
      </c>
      <c r="D12" s="46">
        <v>29000</v>
      </c>
      <c r="E12" s="49">
        <v>3173</v>
      </c>
      <c r="F12" s="49">
        <v>2500</v>
      </c>
      <c r="G12" s="46">
        <v>2500</v>
      </c>
      <c r="H12" s="46">
        <v>5000</v>
      </c>
      <c r="I12" s="46">
        <v>4874.8</v>
      </c>
      <c r="J12" s="46">
        <v>540</v>
      </c>
      <c r="K12" s="49">
        <v>10000</v>
      </c>
      <c r="L12" s="49">
        <v>10000</v>
      </c>
      <c r="M12" s="49">
        <f t="shared" si="0"/>
        <v>10000</v>
      </c>
      <c r="N12" s="49">
        <f t="shared" si="0"/>
        <v>10000</v>
      </c>
      <c r="O12" s="49">
        <f>+N12</f>
        <v>10000</v>
      </c>
    </row>
    <row r="13" spans="1:15" s="14" customFormat="1" ht="18">
      <c r="A13" s="65" t="s">
        <v>67</v>
      </c>
      <c r="B13" s="52" t="s">
        <v>68</v>
      </c>
      <c r="C13" s="46"/>
      <c r="D13" s="46"/>
      <c r="E13" s="49"/>
      <c r="F13" s="49"/>
      <c r="G13" s="46">
        <v>15000</v>
      </c>
      <c r="H13" s="46">
        <v>15000</v>
      </c>
      <c r="I13" s="46">
        <v>10579.04</v>
      </c>
      <c r="J13" s="46">
        <v>20962</v>
      </c>
      <c r="K13" s="49">
        <v>5000</v>
      </c>
      <c r="L13" s="49">
        <v>5000</v>
      </c>
      <c r="M13" s="49">
        <f t="shared" si="0"/>
        <v>5000</v>
      </c>
      <c r="N13" s="49">
        <f t="shared" si="0"/>
        <v>5000</v>
      </c>
      <c r="O13" s="49">
        <f>+N13</f>
        <v>5000</v>
      </c>
    </row>
    <row r="14" spans="1:15" s="14" customFormat="1" ht="18">
      <c r="A14" s="65" t="s">
        <v>69</v>
      </c>
      <c r="B14" s="52" t="s">
        <v>70</v>
      </c>
      <c r="C14" s="46"/>
      <c r="D14" s="46"/>
      <c r="E14" s="49"/>
      <c r="F14" s="49"/>
      <c r="G14" s="46">
        <v>7500</v>
      </c>
      <c r="H14" s="49">
        <f>7500-2500</f>
        <v>5000</v>
      </c>
      <c r="I14" s="49">
        <v>1691.68</v>
      </c>
      <c r="J14" s="49">
        <v>3735</v>
      </c>
      <c r="K14" s="49">
        <v>3000</v>
      </c>
      <c r="L14" s="49">
        <f t="shared" si="0"/>
        <v>3000</v>
      </c>
      <c r="M14" s="49">
        <f t="shared" si="0"/>
        <v>3000</v>
      </c>
      <c r="N14" s="49">
        <f t="shared" si="0"/>
        <v>3000</v>
      </c>
      <c r="O14" s="49">
        <f>+N14</f>
        <v>3000</v>
      </c>
    </row>
    <row r="15" spans="1:15" s="14" customFormat="1" ht="18">
      <c r="A15" s="65" t="s">
        <v>118</v>
      </c>
      <c r="B15" s="52" t="s">
        <v>119</v>
      </c>
      <c r="C15" s="46"/>
      <c r="D15" s="46"/>
      <c r="E15" s="49"/>
      <c r="F15" s="49"/>
      <c r="G15" s="46"/>
      <c r="H15" s="49"/>
      <c r="I15" s="49">
        <v>834.9</v>
      </c>
      <c r="J15" s="49">
        <v>1658</v>
      </c>
      <c r="K15" s="49"/>
      <c r="L15" s="49">
        <v>1750</v>
      </c>
      <c r="M15" s="49">
        <v>1750</v>
      </c>
      <c r="N15" s="49">
        <v>1750</v>
      </c>
      <c r="O15" s="49">
        <v>1750</v>
      </c>
    </row>
    <row r="16" spans="1:15" s="14" customFormat="1" ht="18">
      <c r="A16" s="65" t="s">
        <v>120</v>
      </c>
      <c r="B16" s="52" t="s">
        <v>121</v>
      </c>
      <c r="C16" s="46"/>
      <c r="D16" s="46"/>
      <c r="E16" s="49"/>
      <c r="F16" s="49"/>
      <c r="G16" s="46"/>
      <c r="H16" s="49"/>
      <c r="I16" s="49">
        <v>-5299.36</v>
      </c>
      <c r="J16" s="49">
        <v>7898</v>
      </c>
      <c r="K16" s="49"/>
      <c r="L16" s="49"/>
      <c r="M16" s="49"/>
      <c r="N16" s="49"/>
      <c r="O16" s="49"/>
    </row>
    <row r="17" spans="1:15" s="14" customFormat="1" ht="18">
      <c r="A17" s="47" t="s">
        <v>24</v>
      </c>
      <c r="B17" s="14" t="s">
        <v>15</v>
      </c>
      <c r="C17" s="46">
        <v>30000</v>
      </c>
      <c r="D17" s="46">
        <v>104000</v>
      </c>
      <c r="E17" s="46">
        <f>59000+63712-50000-5288+25000</f>
        <v>92424</v>
      </c>
      <c r="F17" s="46">
        <v>0</v>
      </c>
      <c r="G17" s="46">
        <v>50000</v>
      </c>
      <c r="H17" s="46">
        <v>0</v>
      </c>
      <c r="I17" s="46"/>
      <c r="J17" s="46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</row>
    <row r="18" spans="1:15" s="14" customFormat="1" ht="18.75" thickBot="1">
      <c r="A18" s="12"/>
      <c r="C18" s="15">
        <f aca="true" t="shared" si="1" ref="C18:H18">SUM(C10:C17)</f>
        <v>107000</v>
      </c>
      <c r="D18" s="15">
        <f t="shared" si="1"/>
        <v>155000</v>
      </c>
      <c r="E18" s="69">
        <f t="shared" si="1"/>
        <v>117712</v>
      </c>
      <c r="F18" s="69">
        <f t="shared" si="1"/>
        <v>24500</v>
      </c>
      <c r="G18" s="69">
        <f t="shared" si="1"/>
        <v>97000</v>
      </c>
      <c r="H18" s="69">
        <f t="shared" si="1"/>
        <v>40000</v>
      </c>
      <c r="I18" s="69">
        <f aca="true" t="shared" si="2" ref="I18:O18">SUM(I10:I17)</f>
        <v>22532.47</v>
      </c>
      <c r="J18" s="99">
        <f t="shared" si="2"/>
        <v>49095</v>
      </c>
      <c r="K18" s="99">
        <f t="shared" si="2"/>
        <v>38000</v>
      </c>
      <c r="L18" s="99">
        <f t="shared" si="2"/>
        <v>39750</v>
      </c>
      <c r="M18" s="99">
        <f t="shared" si="2"/>
        <v>39750</v>
      </c>
      <c r="N18" s="99">
        <f t="shared" si="2"/>
        <v>39750</v>
      </c>
      <c r="O18" s="99">
        <f t="shared" si="2"/>
        <v>39750</v>
      </c>
    </row>
    <row r="19" spans="1:15" s="14" customFormat="1" ht="18.75" thickTop="1">
      <c r="A19" s="12"/>
      <c r="C19" s="35"/>
      <c r="D19" s="35"/>
      <c r="E19" s="35"/>
      <c r="F19" s="35"/>
      <c r="G19" s="35"/>
      <c r="H19" s="35"/>
      <c r="I19" s="35"/>
      <c r="J19" s="35"/>
      <c r="K19" s="104"/>
      <c r="L19" s="104"/>
      <c r="M19" s="104"/>
      <c r="N19" s="104"/>
      <c r="O19" s="104"/>
    </row>
    <row r="20" spans="1:15" s="14" customFormat="1" ht="54">
      <c r="A20" s="12"/>
      <c r="C20" s="35"/>
      <c r="D20" s="35"/>
      <c r="E20" s="35"/>
      <c r="F20" s="35"/>
      <c r="G20" s="35"/>
      <c r="H20" s="35"/>
      <c r="I20" s="97" t="str">
        <f>+I6</f>
        <v>werkelijke cijfers</v>
      </c>
      <c r="J20" s="97" t="s">
        <v>116</v>
      </c>
      <c r="K20" s="101" t="s">
        <v>117</v>
      </c>
      <c r="L20" s="104"/>
      <c r="M20" s="104"/>
      <c r="N20" s="104"/>
      <c r="O20" s="104"/>
    </row>
    <row r="21" spans="1:15" s="14" customFormat="1" ht="18">
      <c r="A21" s="12"/>
      <c r="B21" s="13" t="s">
        <v>51</v>
      </c>
      <c r="C21" s="71">
        <v>2006</v>
      </c>
      <c r="D21" s="43">
        <v>2007</v>
      </c>
      <c r="E21" s="43">
        <v>2008</v>
      </c>
      <c r="F21" s="43">
        <f>+E21+1</f>
        <v>2009</v>
      </c>
      <c r="G21" s="43">
        <f>+F21+1</f>
        <v>2010</v>
      </c>
      <c r="H21" s="43">
        <f>+H7</f>
        <v>2012</v>
      </c>
      <c r="I21" s="43">
        <f>+I7</f>
        <v>2011</v>
      </c>
      <c r="J21" s="43">
        <f aca="true" t="shared" si="3" ref="J21:O21">+J7</f>
        <v>2013</v>
      </c>
      <c r="K21" s="71">
        <f t="shared" si="3"/>
        <v>2014</v>
      </c>
      <c r="L21" s="71">
        <f t="shared" si="3"/>
        <v>2015</v>
      </c>
      <c r="M21" s="71">
        <f t="shared" si="3"/>
        <v>2016</v>
      </c>
      <c r="N21" s="71">
        <f t="shared" si="3"/>
        <v>2017</v>
      </c>
      <c r="O21" s="71">
        <f t="shared" si="3"/>
        <v>2018</v>
      </c>
    </row>
    <row r="22" spans="1:15" s="14" customFormat="1" ht="18">
      <c r="A22" s="12">
        <v>34002</v>
      </c>
      <c r="B22" s="14" t="s">
        <v>122</v>
      </c>
      <c r="C22" s="71"/>
      <c r="D22" s="43"/>
      <c r="E22" s="43"/>
      <c r="F22" s="43"/>
      <c r="G22" s="43"/>
      <c r="H22" s="43"/>
      <c r="I22" s="19">
        <v>9120</v>
      </c>
      <c r="J22" s="49">
        <v>17</v>
      </c>
      <c r="K22" s="49"/>
      <c r="L22" s="49"/>
      <c r="M22" s="49"/>
      <c r="N22" s="49"/>
      <c r="O22" s="49"/>
    </row>
    <row r="23" spans="1:15" s="14" customFormat="1" ht="18">
      <c r="A23" s="12">
        <v>60000</v>
      </c>
      <c r="B23" s="14" t="s">
        <v>135</v>
      </c>
      <c r="C23" s="71"/>
      <c r="D23" s="43"/>
      <c r="E23" s="43"/>
      <c r="F23" s="43"/>
      <c r="G23" s="43"/>
      <c r="H23" s="43"/>
      <c r="I23" s="19"/>
      <c r="J23" s="49">
        <v>12787.32</v>
      </c>
      <c r="K23" s="49"/>
      <c r="L23" s="49"/>
      <c r="M23" s="49"/>
      <c r="N23" s="49"/>
      <c r="O23" s="49"/>
    </row>
    <row r="24" spans="1:15" s="14" customFormat="1" ht="18">
      <c r="A24" s="12">
        <v>62000</v>
      </c>
      <c r="B24" s="14" t="s">
        <v>52</v>
      </c>
      <c r="C24" s="35"/>
      <c r="D24" s="35"/>
      <c r="E24" s="19">
        <v>3082000</v>
      </c>
      <c r="F24" s="19"/>
      <c r="G24" s="19">
        <f>3203990-37302</f>
        <v>3166688</v>
      </c>
      <c r="H24" s="19"/>
      <c r="I24" s="19">
        <v>2920537.76</v>
      </c>
      <c r="J24" s="19">
        <v>3586858.3</v>
      </c>
      <c r="K24" s="100">
        <f>2963529+666624</f>
        <v>3630153</v>
      </c>
      <c r="L24" s="100">
        <v>2911876</v>
      </c>
      <c r="M24" s="100">
        <v>2916923</v>
      </c>
      <c r="N24" s="100">
        <v>2920100</v>
      </c>
      <c r="O24" s="100">
        <v>2910142</v>
      </c>
    </row>
    <row r="25" spans="1:15" s="16" customFormat="1" ht="18.75" thickBot="1">
      <c r="A25" s="53"/>
      <c r="C25" s="19"/>
      <c r="D25" s="19"/>
      <c r="E25" s="69">
        <f>+E24</f>
        <v>3082000</v>
      </c>
      <c r="F25" s="69">
        <f>+F24</f>
        <v>0</v>
      </c>
      <c r="G25" s="69">
        <f>+G24</f>
        <v>3166688</v>
      </c>
      <c r="H25" s="69">
        <f>+H24</f>
        <v>0</v>
      </c>
      <c r="I25" s="69">
        <f aca="true" t="shared" si="4" ref="I25:O25">SUM(I22:I24)</f>
        <v>2929657.76</v>
      </c>
      <c r="J25" s="69">
        <f t="shared" si="4"/>
        <v>3599662.6199999996</v>
      </c>
      <c r="K25" s="99">
        <f t="shared" si="4"/>
        <v>3630153</v>
      </c>
      <c r="L25" s="99">
        <f t="shared" si="4"/>
        <v>2911876</v>
      </c>
      <c r="M25" s="99">
        <f t="shared" si="4"/>
        <v>2916923</v>
      </c>
      <c r="N25" s="99">
        <f t="shared" si="4"/>
        <v>2920100</v>
      </c>
      <c r="O25" s="99">
        <f t="shared" si="4"/>
        <v>2910142</v>
      </c>
    </row>
    <row r="26" spans="1:15" s="16" customFormat="1" ht="18.75" thickTop="1">
      <c r="A26" s="5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s="14" customFormat="1" ht="18.75" thickBot="1">
      <c r="A27" s="12"/>
      <c r="B27" s="54" t="s">
        <v>50</v>
      </c>
      <c r="C27" s="43"/>
      <c r="D27" s="55">
        <f aca="true" t="shared" si="5" ref="D27:K27">+D18-D25</f>
        <v>155000</v>
      </c>
      <c r="E27" s="70">
        <f t="shared" si="5"/>
        <v>-2964288</v>
      </c>
      <c r="F27" s="70">
        <f t="shared" si="5"/>
        <v>24500</v>
      </c>
      <c r="G27" s="70">
        <f t="shared" si="5"/>
        <v>-3069688</v>
      </c>
      <c r="H27" s="70">
        <f t="shared" si="5"/>
        <v>40000</v>
      </c>
      <c r="I27" s="70">
        <f t="shared" si="5"/>
        <v>-2907125.2899999996</v>
      </c>
      <c r="J27" s="70">
        <f t="shared" si="5"/>
        <v>-3550567.6199999996</v>
      </c>
      <c r="K27" s="70">
        <f t="shared" si="5"/>
        <v>-3592153</v>
      </c>
      <c r="L27" s="70">
        <f>+L18-L25</f>
        <v>-2872126</v>
      </c>
      <c r="M27" s="70">
        <f>+M18-M25</f>
        <v>-2877173</v>
      </c>
      <c r="N27" s="70">
        <f>+N18-N25</f>
        <v>-2880350</v>
      </c>
      <c r="O27" s="70">
        <f>+O18-O25</f>
        <v>-2870392</v>
      </c>
    </row>
    <row r="28" spans="1:10" s="16" customFormat="1" ht="18.75" thickTop="1">
      <c r="A28" s="53"/>
      <c r="C28" s="19"/>
      <c r="D28" s="19"/>
      <c r="E28" s="35"/>
      <c r="F28" s="35"/>
      <c r="G28" s="35"/>
      <c r="H28" s="35"/>
      <c r="I28" s="35"/>
      <c r="J28" s="35"/>
    </row>
    <row r="29" spans="1:10" s="16" customFormat="1" ht="18">
      <c r="A29" s="53"/>
      <c r="C29" s="19"/>
      <c r="D29" s="19"/>
      <c r="E29" s="35"/>
      <c r="F29" s="35"/>
      <c r="G29" s="35"/>
      <c r="H29" s="35"/>
      <c r="I29" s="35"/>
      <c r="J29" s="35"/>
    </row>
    <row r="30" spans="1:7" s="16" customFormat="1" ht="18">
      <c r="A30" s="53"/>
      <c r="B30" s="56" t="s">
        <v>49</v>
      </c>
      <c r="C30" s="19"/>
      <c r="D30" s="19"/>
      <c r="E30" s="19"/>
      <c r="F30" s="19"/>
      <c r="G30" s="19"/>
    </row>
    <row r="31" spans="1:7" s="16" customFormat="1" ht="18">
      <c r="A31" s="12">
        <v>34302</v>
      </c>
      <c r="B31" s="57" t="s">
        <v>96</v>
      </c>
      <c r="C31" s="46"/>
      <c r="D31" s="19"/>
      <c r="E31" s="19"/>
      <c r="F31" s="19"/>
      <c r="G31" s="19"/>
    </row>
    <row r="32" spans="1:3" s="57" customFormat="1" ht="18">
      <c r="A32" s="75"/>
      <c r="C32" s="49"/>
    </row>
    <row r="33" spans="1:3" s="57" customFormat="1" ht="18">
      <c r="A33" s="75"/>
      <c r="B33" s="91"/>
      <c r="C33" s="49"/>
    </row>
    <row r="34" spans="1:3" s="16" customFormat="1" ht="18">
      <c r="A34" s="12"/>
      <c r="B34" s="58"/>
      <c r="C34" s="46"/>
    </row>
    <row r="35" spans="1:3" s="16" customFormat="1" ht="18">
      <c r="A35" s="53"/>
      <c r="B35" s="58"/>
      <c r="C35" s="59"/>
    </row>
    <row r="36" spans="1:2" s="16" customFormat="1" ht="18">
      <c r="A36" s="53"/>
      <c r="B36" s="58"/>
    </row>
    <row r="37" spans="1:2" s="16" customFormat="1" ht="18">
      <c r="A37" s="53"/>
      <c r="B37" s="58"/>
    </row>
    <row r="38" spans="1:7" s="16" customFormat="1" ht="18">
      <c r="A38" s="53"/>
      <c r="C38" s="19"/>
      <c r="D38" s="19"/>
      <c r="E38" s="19"/>
      <c r="F38" s="19"/>
      <c r="G38" s="19"/>
    </row>
    <row r="39" spans="1:7" s="16" customFormat="1" ht="18">
      <c r="A39" s="53"/>
      <c r="C39" s="19"/>
      <c r="D39" s="19"/>
      <c r="E39" s="19"/>
      <c r="F39" s="19"/>
      <c r="G39" s="19"/>
    </row>
    <row r="40" spans="1:7" s="16" customFormat="1" ht="18">
      <c r="A40" s="53"/>
      <c r="C40" s="19"/>
      <c r="D40" s="19"/>
      <c r="E40" s="19"/>
      <c r="F40" s="19"/>
      <c r="G40" s="19"/>
    </row>
    <row r="41" spans="1:7" s="16" customFormat="1" ht="18">
      <c r="A41" s="53"/>
      <c r="C41" s="19"/>
      <c r="D41" s="19"/>
      <c r="E41" s="19"/>
      <c r="F41" s="19"/>
      <c r="G41" s="19"/>
    </row>
    <row r="42" spans="1:7" s="16" customFormat="1" ht="18">
      <c r="A42" s="53"/>
      <c r="C42" s="19"/>
      <c r="D42" s="19"/>
      <c r="E42" s="19"/>
      <c r="F42" s="19"/>
      <c r="G42" s="19"/>
    </row>
    <row r="43" spans="1:7" s="16" customFormat="1" ht="18">
      <c r="A43" s="53"/>
      <c r="C43" s="19"/>
      <c r="D43" s="19"/>
      <c r="E43" s="19"/>
      <c r="F43" s="19"/>
      <c r="G43" s="19"/>
    </row>
    <row r="44" spans="1:7" s="16" customFormat="1" ht="18">
      <c r="A44" s="53"/>
      <c r="C44" s="19"/>
      <c r="D44" s="35"/>
      <c r="E44" s="35"/>
      <c r="F44" s="35"/>
      <c r="G44" s="35"/>
    </row>
    <row r="45" spans="1:7" s="16" customFormat="1" ht="19.5">
      <c r="A45" s="53"/>
      <c r="B45" s="60"/>
      <c r="C45" s="19"/>
      <c r="D45" s="19"/>
      <c r="E45" s="19"/>
      <c r="F45" s="19"/>
      <c r="G45" s="19"/>
    </row>
    <row r="46" spans="1:7" s="16" customFormat="1" ht="18">
      <c r="A46" s="53"/>
      <c r="C46" s="19"/>
      <c r="D46" s="19"/>
      <c r="E46" s="19"/>
      <c r="F46" s="19"/>
      <c r="G46" s="19"/>
    </row>
    <row r="47" spans="1:7" s="16" customFormat="1" ht="18">
      <c r="A47" s="53"/>
      <c r="C47" s="19"/>
      <c r="D47" s="19"/>
      <c r="E47" s="19"/>
      <c r="F47" s="19"/>
      <c r="G47" s="19"/>
    </row>
    <row r="48" spans="1:7" s="16" customFormat="1" ht="18">
      <c r="A48" s="53"/>
      <c r="B48" s="56"/>
      <c r="C48" s="19"/>
      <c r="D48" s="19"/>
      <c r="E48" s="19"/>
      <c r="F48" s="19"/>
      <c r="G48" s="19"/>
    </row>
    <row r="49" spans="1:7" s="16" customFormat="1" ht="18">
      <c r="A49" s="53"/>
      <c r="C49" s="19"/>
      <c r="D49" s="19"/>
      <c r="E49" s="19"/>
      <c r="F49" s="19"/>
      <c r="G49" s="19"/>
    </row>
    <row r="50" spans="1:7" s="16" customFormat="1" ht="18">
      <c r="A50" s="53"/>
      <c r="C50" s="19"/>
      <c r="D50" s="19"/>
      <c r="E50" s="19"/>
      <c r="F50" s="19"/>
      <c r="G50" s="19"/>
    </row>
    <row r="51" spans="1:7" s="16" customFormat="1" ht="18">
      <c r="A51" s="53"/>
      <c r="C51" s="19"/>
      <c r="D51" s="19"/>
      <c r="E51" s="19"/>
      <c r="F51" s="19"/>
      <c r="G51" s="19"/>
    </row>
    <row r="52" spans="1:7" s="16" customFormat="1" ht="18">
      <c r="A52" s="53"/>
      <c r="C52" s="19"/>
      <c r="D52" s="19"/>
      <c r="E52" s="19"/>
      <c r="F52" s="19"/>
      <c r="G52" s="19"/>
    </row>
    <row r="53" spans="1:7" s="16" customFormat="1" ht="18">
      <c r="A53" s="53"/>
      <c r="C53" s="19"/>
      <c r="D53" s="19"/>
      <c r="E53" s="19"/>
      <c r="F53" s="19"/>
      <c r="G53" s="19"/>
    </row>
    <row r="54" spans="1:7" s="16" customFormat="1" ht="18">
      <c r="A54" s="53"/>
      <c r="C54" s="19"/>
      <c r="D54" s="19"/>
      <c r="E54" s="19"/>
      <c r="F54" s="19"/>
      <c r="G54" s="19"/>
    </row>
    <row r="55" spans="1:7" s="16" customFormat="1" ht="18">
      <c r="A55" s="53"/>
      <c r="C55" s="19"/>
      <c r="D55" s="19"/>
      <c r="E55" s="19"/>
      <c r="F55" s="19"/>
      <c r="G55" s="19"/>
    </row>
    <row r="56" spans="1:7" s="16" customFormat="1" ht="18">
      <c r="A56" s="53"/>
      <c r="C56" s="19"/>
      <c r="D56" s="19"/>
      <c r="E56" s="19"/>
      <c r="F56" s="19"/>
      <c r="G56" s="19"/>
    </row>
    <row r="57" spans="1:7" s="16" customFormat="1" ht="18">
      <c r="A57" s="53"/>
      <c r="C57" s="19"/>
      <c r="D57" s="19"/>
      <c r="E57" s="19"/>
      <c r="F57" s="19"/>
      <c r="G57" s="19"/>
    </row>
    <row r="58" spans="1:7" s="16" customFormat="1" ht="18">
      <c r="A58" s="53"/>
      <c r="C58" s="19"/>
      <c r="D58" s="35"/>
      <c r="E58" s="35"/>
      <c r="F58" s="35"/>
      <c r="G58" s="35"/>
    </row>
    <row r="59" spans="1:7" s="16" customFormat="1" ht="18">
      <c r="A59" s="53"/>
      <c r="C59" s="19"/>
      <c r="D59" s="19"/>
      <c r="E59" s="19"/>
      <c r="F59" s="19"/>
      <c r="G59" s="19"/>
    </row>
    <row r="60" spans="1:7" s="16" customFormat="1" ht="18">
      <c r="A60" s="53"/>
      <c r="C60" s="19"/>
      <c r="D60" s="19"/>
      <c r="E60" s="19"/>
      <c r="F60" s="19"/>
      <c r="G60" s="19"/>
    </row>
    <row r="61" spans="1:7" s="16" customFormat="1" ht="18">
      <c r="A61" s="53"/>
      <c r="B61" s="56"/>
      <c r="C61" s="19"/>
      <c r="D61" s="19"/>
      <c r="E61" s="19"/>
      <c r="F61" s="19"/>
      <c r="G61" s="19"/>
    </row>
    <row r="62" spans="1:7" s="16" customFormat="1" ht="18">
      <c r="A62" s="53"/>
      <c r="C62" s="19"/>
      <c r="D62" s="19"/>
      <c r="E62" s="19"/>
      <c r="F62" s="19"/>
      <c r="G62" s="19"/>
    </row>
    <row r="63" spans="1:7" s="16" customFormat="1" ht="18">
      <c r="A63" s="53"/>
      <c r="C63" s="19"/>
      <c r="D63" s="19"/>
      <c r="E63" s="19"/>
      <c r="F63" s="19"/>
      <c r="G63" s="19"/>
    </row>
    <row r="64" spans="1:7" s="16" customFormat="1" ht="18">
      <c r="A64" s="53"/>
      <c r="C64" s="19"/>
      <c r="D64" s="19"/>
      <c r="E64" s="19"/>
      <c r="F64" s="19"/>
      <c r="G64" s="19"/>
    </row>
    <row r="65" spans="1:7" s="16" customFormat="1" ht="18">
      <c r="A65" s="53"/>
      <c r="C65" s="19"/>
      <c r="D65" s="19"/>
      <c r="E65" s="19"/>
      <c r="F65" s="19"/>
      <c r="G65" s="19"/>
    </row>
    <row r="66" spans="1:7" s="16" customFormat="1" ht="18">
      <c r="A66" s="53"/>
      <c r="C66" s="19"/>
      <c r="D66" s="19"/>
      <c r="E66" s="19"/>
      <c r="F66" s="19"/>
      <c r="G66" s="19"/>
    </row>
    <row r="67" spans="1:7" s="16" customFormat="1" ht="18">
      <c r="A67" s="53"/>
      <c r="C67" s="19"/>
      <c r="D67" s="19"/>
      <c r="E67" s="19"/>
      <c r="F67" s="19"/>
      <c r="G67" s="19"/>
    </row>
    <row r="68" spans="1:7" s="16" customFormat="1" ht="18">
      <c r="A68" s="53"/>
      <c r="D68" s="35"/>
      <c r="E68" s="35"/>
      <c r="F68" s="35"/>
      <c r="G68" s="35"/>
    </row>
    <row r="69" s="16" customFormat="1" ht="18">
      <c r="A69" s="53"/>
    </row>
    <row r="70" s="16" customFormat="1" ht="18">
      <c r="A70" s="53"/>
    </row>
    <row r="71" spans="1:7" s="16" customFormat="1" ht="18">
      <c r="A71" s="53"/>
      <c r="B71" s="17"/>
      <c r="C71" s="35"/>
      <c r="D71" s="35"/>
      <c r="E71" s="35"/>
      <c r="F71" s="35"/>
      <c r="G71" s="35"/>
    </row>
    <row r="72" s="16" customFormat="1" ht="18">
      <c r="A72" s="53"/>
    </row>
    <row r="73" spans="1:2" s="16" customFormat="1" ht="18">
      <c r="A73" s="53"/>
      <c r="B73" s="18"/>
    </row>
    <row r="74" s="16" customFormat="1" ht="18">
      <c r="A74" s="53"/>
    </row>
    <row r="75" s="16" customFormat="1" ht="18">
      <c r="A75" s="53"/>
    </row>
    <row r="76" s="16" customFormat="1" ht="18">
      <c r="A76" s="53"/>
    </row>
    <row r="77" s="16" customFormat="1" ht="18">
      <c r="A77" s="53"/>
    </row>
    <row r="78" spans="1:7" s="16" customFormat="1" ht="18">
      <c r="A78" s="53"/>
      <c r="C78" s="19"/>
      <c r="D78" s="19"/>
      <c r="E78" s="19"/>
      <c r="F78" s="19"/>
      <c r="G78" s="19"/>
    </row>
    <row r="79" spans="1:7" s="16" customFormat="1" ht="18">
      <c r="A79" s="53"/>
      <c r="C79" s="35"/>
      <c r="D79" s="19"/>
      <c r="E79" s="19"/>
      <c r="F79" s="19"/>
      <c r="G79" s="19"/>
    </row>
    <row r="80" spans="1:7" s="16" customFormat="1" ht="18">
      <c r="A80" s="53"/>
      <c r="B80" s="17"/>
      <c r="C80" s="35"/>
      <c r="D80" s="35"/>
      <c r="E80" s="35"/>
      <c r="F80" s="35"/>
      <c r="G80" s="35"/>
    </row>
    <row r="81" spans="1:2" s="16" customFormat="1" ht="18">
      <c r="A81" s="53"/>
      <c r="B81" s="18"/>
    </row>
    <row r="82" spans="1:3" s="16" customFormat="1" ht="18">
      <c r="A82" s="53"/>
      <c r="C82" s="19"/>
    </row>
    <row r="83" spans="1:3" s="16" customFormat="1" ht="18">
      <c r="A83" s="53"/>
      <c r="C83" s="19"/>
    </row>
    <row r="84" spans="1:3" s="16" customFormat="1" ht="18">
      <c r="A84" s="53"/>
      <c r="C84" s="19"/>
    </row>
    <row r="85" spans="1:3" s="16" customFormat="1" ht="18">
      <c r="A85" s="53"/>
      <c r="C85" s="19"/>
    </row>
    <row r="86" spans="1:3" s="16" customFormat="1" ht="18">
      <c r="A86" s="53"/>
      <c r="C86" s="19"/>
    </row>
    <row r="87" spans="1:3" s="16" customFormat="1" ht="18">
      <c r="A87" s="53"/>
      <c r="C87" s="19"/>
    </row>
    <row r="88" spans="1:3" s="32" customFormat="1" ht="15">
      <c r="A88" s="31"/>
      <c r="C88" s="33"/>
    </row>
    <row r="89" spans="1:3" s="32" customFormat="1" ht="15">
      <c r="A89" s="31"/>
      <c r="C89" s="30"/>
    </row>
    <row r="90" s="32" customFormat="1" ht="15">
      <c r="A90" s="31"/>
    </row>
    <row r="91" s="32" customFormat="1" ht="15">
      <c r="A91" s="31"/>
    </row>
    <row r="92" s="32" customFormat="1" ht="15">
      <c r="A92" s="31"/>
    </row>
    <row r="93" s="32" customFormat="1" ht="15">
      <c r="A93" s="31"/>
    </row>
    <row r="94" spans="1:7" s="32" customFormat="1" ht="15">
      <c r="A94" s="31"/>
      <c r="B94" s="37"/>
      <c r="C94" s="36"/>
      <c r="D94" s="36"/>
      <c r="E94" s="36"/>
      <c r="F94" s="36"/>
      <c r="G94" s="36"/>
    </row>
    <row r="95" s="32" customFormat="1" ht="15">
      <c r="A95" s="31"/>
    </row>
    <row r="96" spans="1:7" s="32" customFormat="1" ht="15">
      <c r="A96" s="31"/>
      <c r="B96" s="36"/>
      <c r="C96" s="33"/>
      <c r="D96" s="33"/>
      <c r="E96" s="33"/>
      <c r="F96" s="33"/>
      <c r="G96" s="33"/>
    </row>
    <row r="97" spans="1:7" s="32" customFormat="1" ht="15">
      <c r="A97" s="31"/>
      <c r="C97" s="38"/>
      <c r="D97" s="38"/>
      <c r="E97" s="38"/>
      <c r="F97" s="38"/>
      <c r="G97" s="38"/>
    </row>
    <row r="98" spans="1:3" s="32" customFormat="1" ht="15">
      <c r="A98" s="31"/>
      <c r="C98" s="33"/>
    </row>
    <row r="99" spans="1:3" s="32" customFormat="1" ht="15">
      <c r="A99" s="31"/>
      <c r="C99" s="33"/>
    </row>
    <row r="100" spans="1:7" s="32" customFormat="1" ht="15">
      <c r="A100" s="31"/>
      <c r="B100" s="37"/>
      <c r="C100" s="36"/>
      <c r="D100" s="36"/>
      <c r="E100" s="36"/>
      <c r="F100" s="36"/>
      <c r="G100" s="36"/>
    </row>
    <row r="101" s="32" customFormat="1" ht="15">
      <c r="A101" s="31"/>
    </row>
    <row r="102" spans="1:7" s="32" customFormat="1" ht="15">
      <c r="A102" s="31"/>
      <c r="B102" s="36"/>
      <c r="C102" s="36"/>
      <c r="D102" s="36"/>
      <c r="E102" s="36"/>
      <c r="F102" s="36"/>
      <c r="G102" s="36"/>
    </row>
    <row r="103" s="32" customFormat="1" ht="15">
      <c r="A103" s="31"/>
    </row>
    <row r="104" spans="1:7" s="32" customFormat="1" ht="15">
      <c r="A104" s="31"/>
      <c r="C104" s="39"/>
      <c r="D104" s="39"/>
      <c r="E104" s="39"/>
      <c r="F104" s="39"/>
      <c r="G104" s="39"/>
    </row>
    <row r="105" s="32" customFormat="1" ht="15">
      <c r="A105" s="31"/>
    </row>
    <row r="106" s="32" customFormat="1" ht="15">
      <c r="A106" s="31"/>
    </row>
    <row r="107" s="32" customFormat="1" ht="15">
      <c r="A107" s="31"/>
    </row>
    <row r="108" s="32" customFormat="1" ht="15">
      <c r="A108" s="31"/>
    </row>
    <row r="109" s="32" customFormat="1" ht="15">
      <c r="A109" s="31"/>
    </row>
  </sheetData>
  <sheetProtection/>
  <printOptions/>
  <pageMargins left="0.75" right="0.75" top="1" bottom="1" header="0.5" footer="0.5"/>
  <pageSetup horizontalDpi="600" verticalDpi="600" orientation="portrait" paperSize="9" scale="55" r:id="rId1"/>
  <headerFooter alignWithMargins="0">
    <oddFooter>&amp;LBegroting IGSD apparaatskosten 2015 - 2018&amp;R38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zoomScale="75" zoomScaleNormal="75" zoomScalePageLayoutView="0" workbookViewId="0" topLeftCell="A1">
      <pane ySplit="4" topLeftCell="A14" activePane="bottomLeft" state="frozen"/>
      <selection pane="topLeft" activeCell="A1" sqref="A1"/>
      <selection pane="bottomLeft" activeCell="Q38" sqref="Q38"/>
    </sheetView>
  </sheetViews>
  <sheetFormatPr defaultColWidth="9.140625" defaultRowHeight="12.75"/>
  <cols>
    <col min="1" max="1" width="11.28125" style="12" customWidth="1"/>
    <col min="2" max="2" width="76.7109375" style="14" customWidth="1"/>
    <col min="3" max="4" width="14.28125" style="14" hidden="1" customWidth="1"/>
    <col min="5" max="5" width="16.421875" style="14" hidden="1" customWidth="1"/>
    <col min="6" max="6" width="14.28125" style="80" hidden="1" customWidth="1"/>
    <col min="7" max="7" width="14.8515625" style="14" hidden="1" customWidth="1"/>
    <col min="8" max="9" width="13.421875" style="14" hidden="1" customWidth="1"/>
    <col min="10" max="10" width="13.421875" style="14" customWidth="1"/>
    <col min="11" max="12" width="15.140625" style="14" bestFit="1" customWidth="1"/>
    <col min="13" max="15" width="16.57421875" style="14" customWidth="1"/>
    <col min="16" max="17" width="9.140625" style="14" customWidth="1"/>
    <col min="18" max="18" width="10.421875" style="14" bestFit="1" customWidth="1"/>
    <col min="19" max="16384" width="9.140625" style="14" customWidth="1"/>
  </cols>
  <sheetData>
    <row r="1" spans="1:6" s="24" customFormat="1" ht="22.5">
      <c r="A1" s="22"/>
      <c r="B1" s="93" t="s">
        <v>129</v>
      </c>
      <c r="F1" s="78"/>
    </row>
    <row r="2" spans="1:6" s="24" customFormat="1" ht="25.5">
      <c r="A2" s="22"/>
      <c r="B2" s="29"/>
      <c r="F2" s="78"/>
    </row>
    <row r="3" spans="9:15" ht="36">
      <c r="I3" s="97" t="s">
        <v>116</v>
      </c>
      <c r="J3" s="97" t="s">
        <v>116</v>
      </c>
      <c r="K3" s="97" t="s">
        <v>117</v>
      </c>
      <c r="L3" s="27"/>
      <c r="M3" s="27"/>
      <c r="N3" s="27"/>
      <c r="O3" s="27"/>
    </row>
    <row r="4" spans="2:15" ht="18">
      <c r="B4" s="13" t="s">
        <v>14</v>
      </c>
      <c r="C4" s="43">
        <v>2006</v>
      </c>
      <c r="D4" s="43">
        <v>2007</v>
      </c>
      <c r="E4" s="43">
        <v>2008</v>
      </c>
      <c r="F4" s="79">
        <f>+E4+1</f>
        <v>2009</v>
      </c>
      <c r="G4" s="43">
        <f>+F4+1</f>
        <v>2010</v>
      </c>
      <c r="H4" s="43">
        <v>2012</v>
      </c>
      <c r="I4" s="43">
        <v>2011</v>
      </c>
      <c r="J4" s="43">
        <v>2013</v>
      </c>
      <c r="K4" s="43">
        <v>2014</v>
      </c>
      <c r="L4" s="43">
        <f>+K4+1</f>
        <v>2015</v>
      </c>
      <c r="M4" s="43">
        <f>+L4+1</f>
        <v>2016</v>
      </c>
      <c r="N4" s="43">
        <f>+M4+1</f>
        <v>2017</v>
      </c>
      <c r="O4" s="43">
        <f>+N4+1</f>
        <v>2018</v>
      </c>
    </row>
    <row r="5" spans="3:7" ht="18">
      <c r="C5" s="43"/>
      <c r="D5" s="43"/>
      <c r="E5" s="43"/>
      <c r="F5" s="79"/>
      <c r="G5" s="43"/>
    </row>
    <row r="6" spans="1:7" ht="18">
      <c r="A6" s="44" t="s">
        <v>25</v>
      </c>
      <c r="B6" s="45" t="s">
        <v>20</v>
      </c>
      <c r="C6" s="46"/>
      <c r="D6" s="46"/>
      <c r="E6" s="46"/>
      <c r="F6" s="77"/>
      <c r="G6" s="46"/>
    </row>
    <row r="7" spans="1:15" ht="18">
      <c r="A7" s="47" t="s">
        <v>24</v>
      </c>
      <c r="B7" s="14" t="s">
        <v>108</v>
      </c>
      <c r="C7" s="46"/>
      <c r="D7" s="46"/>
      <c r="E7" s="46"/>
      <c r="F7" s="77"/>
      <c r="G7" s="46"/>
      <c r="J7" s="14">
        <v>0</v>
      </c>
      <c r="K7" s="48">
        <f>-429150+389150</f>
        <v>-40000</v>
      </c>
      <c r="L7" s="48">
        <v>-435700</v>
      </c>
      <c r="M7" s="48">
        <v>-435700</v>
      </c>
      <c r="N7" s="48">
        <v>-435700</v>
      </c>
      <c r="O7" s="48">
        <v>-435699</v>
      </c>
    </row>
    <row r="8" spans="1:15" ht="18">
      <c r="A8" s="12">
        <v>11000</v>
      </c>
      <c r="B8" s="14" t="s">
        <v>0</v>
      </c>
      <c r="C8" s="46">
        <f>'[1]overzicht fte''s'!G88</f>
        <v>1614000</v>
      </c>
      <c r="D8" s="46">
        <f>+'[2]Blad1'!$K$49-444</f>
        <v>1731000.3399999999</v>
      </c>
      <c r="E8" s="14">
        <v>1831266</v>
      </c>
      <c r="F8" s="80">
        <v>2160511</v>
      </c>
      <c r="G8" s="48">
        <f>+'[3]2010 IGSD begroting'!$F$52</f>
        <v>2357578</v>
      </c>
      <c r="H8" s="48">
        <f>+'[5]2012 begroting'!$G$55</f>
        <v>2428844.416666667</v>
      </c>
      <c r="I8" s="48">
        <v>2448464.77</v>
      </c>
      <c r="J8" s="48">
        <v>2323161</v>
      </c>
      <c r="K8" s="48">
        <v>2507940</v>
      </c>
      <c r="L8" s="48">
        <v>2468748</v>
      </c>
      <c r="M8" s="48">
        <f>+L8</f>
        <v>2468748</v>
      </c>
      <c r="N8" s="48">
        <f>+M8</f>
        <v>2468748</v>
      </c>
      <c r="O8" s="48">
        <f>+N8</f>
        <v>2468748</v>
      </c>
    </row>
    <row r="9" spans="1:15" ht="18">
      <c r="A9" s="12">
        <v>11001</v>
      </c>
      <c r="B9" s="14" t="s">
        <v>130</v>
      </c>
      <c r="C9" s="46"/>
      <c r="D9" s="46"/>
      <c r="G9" s="48"/>
      <c r="H9" s="48"/>
      <c r="I9" s="48"/>
      <c r="J9" s="48">
        <v>1669</v>
      </c>
      <c r="K9" s="48"/>
      <c r="L9" s="48"/>
      <c r="M9" s="48"/>
      <c r="N9" s="48"/>
      <c r="O9" s="48"/>
    </row>
    <row r="10" spans="1:15" ht="18">
      <c r="A10" s="12">
        <v>11002</v>
      </c>
      <c r="B10" s="14" t="s">
        <v>53</v>
      </c>
      <c r="C10" s="46"/>
      <c r="D10" s="46"/>
      <c r="F10" s="80">
        <v>9500</v>
      </c>
      <c r="G10" s="48">
        <f>+F10</f>
        <v>9500</v>
      </c>
      <c r="H10" s="48">
        <v>0</v>
      </c>
      <c r="I10" s="48">
        <v>2857.52</v>
      </c>
      <c r="J10" s="48">
        <v>14703</v>
      </c>
      <c r="K10" s="48">
        <v>14000</v>
      </c>
      <c r="L10" s="48">
        <v>10000</v>
      </c>
      <c r="M10" s="48">
        <v>10000</v>
      </c>
      <c r="N10" s="48">
        <v>10000</v>
      </c>
      <c r="O10" s="48">
        <v>10000</v>
      </c>
    </row>
    <row r="11" spans="1:15" ht="18">
      <c r="A11" s="12">
        <v>11810</v>
      </c>
      <c r="B11" s="14" t="s">
        <v>131</v>
      </c>
      <c r="C11" s="46"/>
      <c r="D11" s="46"/>
      <c r="G11" s="48"/>
      <c r="H11" s="48"/>
      <c r="I11" s="48"/>
      <c r="J11" s="48">
        <v>-29869</v>
      </c>
      <c r="K11" s="48"/>
      <c r="L11" s="48"/>
      <c r="M11" s="48"/>
      <c r="N11" s="48"/>
      <c r="O11" s="48"/>
    </row>
    <row r="12" spans="1:15" ht="18">
      <c r="A12" s="12">
        <v>12110</v>
      </c>
      <c r="B12" s="14" t="s">
        <v>103</v>
      </c>
      <c r="C12" s="46"/>
      <c r="D12" s="46"/>
      <c r="G12" s="48"/>
      <c r="H12" s="48"/>
      <c r="I12" s="48">
        <v>28390.23</v>
      </c>
      <c r="J12" s="48">
        <v>20291</v>
      </c>
      <c r="K12" s="48">
        <v>10000</v>
      </c>
      <c r="L12" s="75" t="s">
        <v>99</v>
      </c>
      <c r="M12" s="75" t="s">
        <v>99</v>
      </c>
      <c r="N12" s="75" t="s">
        <v>99</v>
      </c>
      <c r="O12" s="75" t="s">
        <v>99</v>
      </c>
    </row>
    <row r="13" spans="1:15" ht="18">
      <c r="A13" s="47">
        <v>30001</v>
      </c>
      <c r="B13" s="14" t="s">
        <v>54</v>
      </c>
      <c r="C13" s="14">
        <f>357000+40000</f>
        <v>397000</v>
      </c>
      <c r="D13" s="14">
        <v>257000</v>
      </c>
      <c r="E13" s="14">
        <f>257000-100000+26000+50000+24000</f>
        <v>257000</v>
      </c>
      <c r="F13" s="80">
        <f>257000-45000-12000</f>
        <v>200000</v>
      </c>
      <c r="G13" s="48">
        <v>250000</v>
      </c>
      <c r="H13" s="48">
        <f>247000</f>
        <v>247000</v>
      </c>
      <c r="I13" s="48">
        <v>508893.22</v>
      </c>
      <c r="J13" s="48">
        <v>870563</v>
      </c>
      <c r="K13" s="48">
        <v>850000</v>
      </c>
      <c r="L13" s="48">
        <v>912500</v>
      </c>
      <c r="M13" s="48">
        <v>850000</v>
      </c>
      <c r="N13" s="48">
        <v>788000</v>
      </c>
      <c r="O13" s="48">
        <v>788000</v>
      </c>
    </row>
    <row r="14" spans="1:15" ht="18">
      <c r="A14" s="47" t="s">
        <v>67</v>
      </c>
      <c r="B14" s="14" t="s">
        <v>72</v>
      </c>
      <c r="C14" s="61"/>
      <c r="D14" s="61"/>
      <c r="G14" s="48">
        <v>3000</v>
      </c>
      <c r="H14" s="48">
        <v>4000</v>
      </c>
      <c r="I14" s="48">
        <v>1041.34</v>
      </c>
      <c r="J14" s="48">
        <f>1611-8688</f>
        <v>-7077</v>
      </c>
      <c r="K14" s="48">
        <v>4000</v>
      </c>
      <c r="L14" s="48">
        <v>4000</v>
      </c>
      <c r="M14" s="48">
        <v>4000</v>
      </c>
      <c r="N14" s="48">
        <v>4000</v>
      </c>
      <c r="O14" s="48">
        <v>4000</v>
      </c>
    </row>
    <row r="15" spans="1:15" ht="18">
      <c r="A15" s="47">
        <v>34305</v>
      </c>
      <c r="B15" s="14" t="s">
        <v>70</v>
      </c>
      <c r="C15" s="61"/>
      <c r="D15" s="61"/>
      <c r="G15" s="48"/>
      <c r="H15" s="48"/>
      <c r="I15" s="48">
        <v>419.63</v>
      </c>
      <c r="J15" s="48">
        <v>5022</v>
      </c>
      <c r="K15" s="48">
        <v>2500</v>
      </c>
      <c r="L15" s="48">
        <v>2500</v>
      </c>
      <c r="M15" s="48">
        <v>2500</v>
      </c>
      <c r="N15" s="48">
        <v>2500</v>
      </c>
      <c r="O15" s="48">
        <v>2500</v>
      </c>
    </row>
    <row r="16" spans="1:15" ht="18">
      <c r="A16" s="47">
        <v>34308</v>
      </c>
      <c r="B16" s="14" t="s">
        <v>97</v>
      </c>
      <c r="C16" s="61"/>
      <c r="D16" s="61"/>
      <c r="G16" s="48"/>
      <c r="H16" s="48">
        <v>10000</v>
      </c>
      <c r="I16" s="48">
        <v>8661.09</v>
      </c>
      <c r="J16" s="48">
        <v>5420</v>
      </c>
      <c r="K16" s="48">
        <v>8000</v>
      </c>
      <c r="L16" s="48">
        <v>8000</v>
      </c>
      <c r="M16" s="48">
        <v>8000</v>
      </c>
      <c r="N16" s="48">
        <v>8000</v>
      </c>
      <c r="O16" s="48">
        <v>8000</v>
      </c>
    </row>
    <row r="17" spans="1:15" ht="18">
      <c r="A17" s="47">
        <v>34311</v>
      </c>
      <c r="B17" s="14" t="s">
        <v>128</v>
      </c>
      <c r="C17" s="46">
        <v>12000</v>
      </c>
      <c r="D17" s="46">
        <v>12000</v>
      </c>
      <c r="E17" s="14">
        <f>+D17*1.075</f>
        <v>12900</v>
      </c>
      <c r="F17" s="80">
        <f>+E17+16125</f>
        <v>29025</v>
      </c>
      <c r="G17" s="48">
        <v>35000</v>
      </c>
      <c r="H17" s="48">
        <v>40000</v>
      </c>
      <c r="I17" s="48">
        <v>42741.57</v>
      </c>
      <c r="J17" s="48">
        <v>46420</v>
      </c>
      <c r="K17" s="48">
        <v>48000</v>
      </c>
      <c r="L17" s="48">
        <v>48000</v>
      </c>
      <c r="M17" s="48">
        <f aca="true" t="shared" si="0" ref="L17:M24">+L17</f>
        <v>48000</v>
      </c>
      <c r="N17" s="48">
        <f aca="true" t="shared" si="1" ref="N17:O24">+M17</f>
        <v>48000</v>
      </c>
      <c r="O17" s="48">
        <f t="shared" si="1"/>
        <v>48000</v>
      </c>
    </row>
    <row r="18" spans="1:15" ht="18">
      <c r="A18" s="47" t="s">
        <v>45</v>
      </c>
      <c r="B18" s="14" t="s">
        <v>8</v>
      </c>
      <c r="C18" s="46">
        <v>20000</v>
      </c>
      <c r="D18" s="46">
        <v>20000</v>
      </c>
      <c r="E18" s="14">
        <f>+D18*1.075</f>
        <v>21500</v>
      </c>
      <c r="F18" s="80">
        <f>+E18+10750</f>
        <v>32250</v>
      </c>
      <c r="G18" s="48">
        <v>50000</v>
      </c>
      <c r="H18" s="48">
        <v>45000</v>
      </c>
      <c r="I18" s="48">
        <v>39166.54</v>
      </c>
      <c r="J18" s="48">
        <v>24762</v>
      </c>
      <c r="K18" s="48">
        <v>35000</v>
      </c>
      <c r="L18" s="48">
        <v>35000</v>
      </c>
      <c r="M18" s="48">
        <f t="shared" si="0"/>
        <v>35000</v>
      </c>
      <c r="N18" s="48">
        <f t="shared" si="1"/>
        <v>35000</v>
      </c>
      <c r="O18" s="48">
        <f t="shared" si="1"/>
        <v>35000</v>
      </c>
    </row>
    <row r="19" spans="1:15" ht="18">
      <c r="A19" s="47" t="s">
        <v>46</v>
      </c>
      <c r="B19" s="14" t="s">
        <v>83</v>
      </c>
      <c r="C19" s="46">
        <v>8000</v>
      </c>
      <c r="D19" s="46">
        <v>8000</v>
      </c>
      <c r="E19" s="14">
        <f>+D19*1.075</f>
        <v>8600</v>
      </c>
      <c r="F19" s="80">
        <v>3000</v>
      </c>
      <c r="G19" s="48">
        <v>12000</v>
      </c>
      <c r="H19" s="48">
        <v>10000</v>
      </c>
      <c r="I19" s="48">
        <v>5772.9</v>
      </c>
      <c r="J19" s="48">
        <v>14474</v>
      </c>
      <c r="K19" s="48">
        <v>8000</v>
      </c>
      <c r="L19" s="48">
        <f t="shared" si="0"/>
        <v>8000</v>
      </c>
      <c r="M19" s="48">
        <f t="shared" si="0"/>
        <v>8000</v>
      </c>
      <c r="N19" s="48">
        <f t="shared" si="1"/>
        <v>8000</v>
      </c>
      <c r="O19" s="48">
        <f t="shared" si="1"/>
        <v>8000</v>
      </c>
    </row>
    <row r="20" spans="1:15" ht="18">
      <c r="A20" s="47">
        <v>34315</v>
      </c>
      <c r="B20" s="14" t="s">
        <v>7</v>
      </c>
      <c r="C20" s="46">
        <v>35000</v>
      </c>
      <c r="D20" s="46">
        <v>20000</v>
      </c>
      <c r="E20" s="14">
        <f>+D20*1.075</f>
        <v>21500</v>
      </c>
      <c r="F20" s="80">
        <v>25000</v>
      </c>
      <c r="G20" s="48">
        <v>20000</v>
      </c>
      <c r="H20" s="48">
        <f>+G20</f>
        <v>20000</v>
      </c>
      <c r="I20" s="48">
        <v>0</v>
      </c>
      <c r="J20" s="48">
        <v>1475</v>
      </c>
      <c r="K20" s="48">
        <v>5000</v>
      </c>
      <c r="L20" s="48">
        <v>5000</v>
      </c>
      <c r="M20" s="48">
        <v>5000</v>
      </c>
      <c r="N20" s="48">
        <v>5000</v>
      </c>
      <c r="O20" s="48">
        <v>5000</v>
      </c>
    </row>
    <row r="21" spans="1:15" ht="18">
      <c r="A21" s="47" t="s">
        <v>47</v>
      </c>
      <c r="B21" s="14" t="s">
        <v>73</v>
      </c>
      <c r="C21" s="46">
        <v>80000</v>
      </c>
      <c r="D21" s="46">
        <v>80000</v>
      </c>
      <c r="E21" s="14">
        <v>55000</v>
      </c>
      <c r="F21" s="80">
        <v>50000</v>
      </c>
      <c r="G21" s="48">
        <v>40000</v>
      </c>
      <c r="H21" s="48">
        <f>+G21-10000</f>
        <v>30000</v>
      </c>
      <c r="I21" s="48">
        <v>41344.85</v>
      </c>
      <c r="J21" s="48">
        <v>51537</v>
      </c>
      <c r="K21" s="48">
        <v>50000</v>
      </c>
      <c r="L21" s="48">
        <v>50000</v>
      </c>
      <c r="M21" s="48">
        <f t="shared" si="0"/>
        <v>50000</v>
      </c>
      <c r="N21" s="48">
        <f t="shared" si="1"/>
        <v>50000</v>
      </c>
      <c r="O21" s="48">
        <f t="shared" si="1"/>
        <v>50000</v>
      </c>
    </row>
    <row r="22" spans="1:15" ht="18">
      <c r="A22" s="47">
        <v>34317</v>
      </c>
      <c r="B22" s="14" t="s">
        <v>6</v>
      </c>
      <c r="C22" s="46">
        <v>10000</v>
      </c>
      <c r="D22" s="46">
        <v>10000</v>
      </c>
      <c r="E22" s="14">
        <f>+D22*1.075</f>
        <v>10750</v>
      </c>
      <c r="G22" s="48">
        <v>2500</v>
      </c>
      <c r="H22" s="48">
        <v>3000</v>
      </c>
      <c r="I22" s="48">
        <v>3603</v>
      </c>
      <c r="J22" s="48">
        <v>8037</v>
      </c>
      <c r="K22" s="48">
        <v>8000</v>
      </c>
      <c r="L22" s="48">
        <v>8000</v>
      </c>
      <c r="M22" s="48">
        <f t="shared" si="0"/>
        <v>8000</v>
      </c>
      <c r="N22" s="48">
        <f t="shared" si="1"/>
        <v>8000</v>
      </c>
      <c r="O22" s="48">
        <f t="shared" si="1"/>
        <v>8000</v>
      </c>
    </row>
    <row r="23" spans="1:15" ht="18">
      <c r="A23" s="47">
        <v>34318</v>
      </c>
      <c r="B23" s="14" t="s">
        <v>132</v>
      </c>
      <c r="C23" s="46"/>
      <c r="D23" s="46"/>
      <c r="G23" s="48"/>
      <c r="H23" s="48"/>
      <c r="I23" s="48"/>
      <c r="J23" s="48">
        <v>1174</v>
      </c>
      <c r="K23" s="48"/>
      <c r="L23" s="48"/>
      <c r="M23" s="48"/>
      <c r="N23" s="48"/>
      <c r="O23" s="48"/>
    </row>
    <row r="24" spans="1:15" ht="18">
      <c r="A24" s="47">
        <v>34319</v>
      </c>
      <c r="B24" s="14" t="s">
        <v>55</v>
      </c>
      <c r="C24" s="46"/>
      <c r="D24" s="46"/>
      <c r="F24" s="80">
        <v>7500</v>
      </c>
      <c r="G24" s="48">
        <f>+F24</f>
        <v>7500</v>
      </c>
      <c r="H24" s="48">
        <f>+G24</f>
        <v>7500</v>
      </c>
      <c r="I24" s="48">
        <v>1655.4</v>
      </c>
      <c r="J24" s="48">
        <v>5100</v>
      </c>
      <c r="K24" s="48">
        <f>+H24</f>
        <v>7500</v>
      </c>
      <c r="L24" s="48">
        <f t="shared" si="0"/>
        <v>7500</v>
      </c>
      <c r="M24" s="48">
        <f t="shared" si="0"/>
        <v>7500</v>
      </c>
      <c r="N24" s="48">
        <f t="shared" si="1"/>
        <v>7500</v>
      </c>
      <c r="O24" s="48">
        <f t="shared" si="1"/>
        <v>7500</v>
      </c>
    </row>
    <row r="25" spans="1:15" ht="18">
      <c r="A25" s="47">
        <v>34357</v>
      </c>
      <c r="B25" s="14" t="s">
        <v>9</v>
      </c>
      <c r="C25" s="46"/>
      <c r="D25" s="46"/>
      <c r="G25" s="48"/>
      <c r="H25" s="48"/>
      <c r="I25" s="48"/>
      <c r="J25" s="48">
        <v>783</v>
      </c>
      <c r="K25" s="48"/>
      <c r="L25" s="48"/>
      <c r="M25" s="48"/>
      <c r="N25" s="48"/>
      <c r="O25" s="48"/>
    </row>
    <row r="26" spans="1:15" ht="18">
      <c r="A26" s="47">
        <v>34376</v>
      </c>
      <c r="B26" s="14" t="s">
        <v>123</v>
      </c>
      <c r="C26" s="46"/>
      <c r="D26" s="46"/>
      <c r="G26" s="48"/>
      <c r="H26" s="48"/>
      <c r="I26" s="48">
        <v>193</v>
      </c>
      <c r="J26" s="48"/>
      <c r="K26" s="48">
        <v>6000</v>
      </c>
      <c r="L26" s="48">
        <v>6000</v>
      </c>
      <c r="M26" s="48">
        <v>6000</v>
      </c>
      <c r="N26" s="48">
        <v>6000</v>
      </c>
      <c r="O26" s="48">
        <v>6000</v>
      </c>
    </row>
    <row r="27" spans="1:15" ht="18">
      <c r="A27" s="47">
        <v>34397</v>
      </c>
      <c r="B27" s="14" t="s">
        <v>121</v>
      </c>
      <c r="C27" s="46"/>
      <c r="D27" s="46"/>
      <c r="G27" s="48"/>
      <c r="H27" s="48"/>
      <c r="I27" s="48">
        <v>2554.24</v>
      </c>
      <c r="J27" s="48">
        <v>156</v>
      </c>
      <c r="K27" s="48"/>
      <c r="L27" s="48"/>
      <c r="M27" s="48"/>
      <c r="N27" s="48"/>
      <c r="O27" s="48"/>
    </row>
    <row r="28" spans="1:15" ht="18">
      <c r="A28" s="47">
        <v>42221</v>
      </c>
      <c r="B28" s="14" t="s">
        <v>124</v>
      </c>
      <c r="C28" s="46"/>
      <c r="D28" s="46"/>
      <c r="G28" s="48"/>
      <c r="H28" s="48"/>
      <c r="I28" s="48">
        <v>-33496</v>
      </c>
      <c r="J28" s="48"/>
      <c r="K28" s="48"/>
      <c r="L28" s="48"/>
      <c r="M28" s="48"/>
      <c r="N28" s="48"/>
      <c r="O28" s="48"/>
    </row>
    <row r="29" spans="3:15" ht="18.75" thickBot="1">
      <c r="C29" s="15">
        <f aca="true" t="shared" si="2" ref="C29:H29">SUM(C8:C24)</f>
        <v>2176000</v>
      </c>
      <c r="D29" s="15">
        <f t="shared" si="2"/>
        <v>2138000.34</v>
      </c>
      <c r="E29" s="15">
        <f t="shared" si="2"/>
        <v>2218516</v>
      </c>
      <c r="F29" s="82">
        <f t="shared" si="2"/>
        <v>2516786</v>
      </c>
      <c r="G29" s="15">
        <f t="shared" si="2"/>
        <v>2787078</v>
      </c>
      <c r="H29" s="15">
        <f t="shared" si="2"/>
        <v>2845344.416666667</v>
      </c>
      <c r="I29" s="15">
        <f aca="true" t="shared" si="3" ref="I29:O29">SUM(I7:I28)</f>
        <v>3102263.3</v>
      </c>
      <c r="J29" s="15">
        <f t="shared" si="3"/>
        <v>3357801</v>
      </c>
      <c r="K29" s="15">
        <f t="shared" si="3"/>
        <v>3523940</v>
      </c>
      <c r="L29" s="15">
        <f t="shared" si="3"/>
        <v>3137548</v>
      </c>
      <c r="M29" s="15">
        <f t="shared" si="3"/>
        <v>3075048</v>
      </c>
      <c r="N29" s="15">
        <f t="shared" si="3"/>
        <v>3013048</v>
      </c>
      <c r="O29" s="15">
        <f t="shared" si="3"/>
        <v>3013049</v>
      </c>
    </row>
    <row r="30" spans="3:15" ht="18.75" thickTop="1">
      <c r="C30" s="35"/>
      <c r="D30" s="35"/>
      <c r="E30" s="35"/>
      <c r="F30" s="98"/>
      <c r="G30" s="35"/>
      <c r="H30" s="35"/>
      <c r="I30" s="35"/>
      <c r="J30" s="35"/>
      <c r="K30" s="35"/>
      <c r="L30" s="35"/>
      <c r="M30" s="35"/>
      <c r="N30" s="35"/>
      <c r="O30" s="35"/>
    </row>
    <row r="31" spans="9:15" ht="36">
      <c r="I31" s="97" t="str">
        <f>+I3</f>
        <v>werkelijke cijfers</v>
      </c>
      <c r="J31" s="97" t="s">
        <v>116</v>
      </c>
      <c r="K31" s="97" t="s">
        <v>117</v>
      </c>
      <c r="L31" s="27"/>
      <c r="M31" s="27"/>
      <c r="N31" s="27"/>
      <c r="O31" s="27"/>
    </row>
    <row r="32" spans="2:15" ht="18">
      <c r="B32" s="13" t="s">
        <v>22</v>
      </c>
      <c r="C32" s="43">
        <v>2006</v>
      </c>
      <c r="D32" s="43">
        <v>2007</v>
      </c>
      <c r="E32" s="43">
        <v>2008</v>
      </c>
      <c r="F32" s="79">
        <f>+E32+1</f>
        <v>2009</v>
      </c>
      <c r="G32" s="43">
        <f>+F32+1</f>
        <v>2010</v>
      </c>
      <c r="H32" s="43">
        <f>+H4</f>
        <v>2012</v>
      </c>
      <c r="I32" s="43">
        <f>+I4</f>
        <v>2011</v>
      </c>
      <c r="J32" s="43">
        <v>2013</v>
      </c>
      <c r="K32" s="43">
        <v>2014</v>
      </c>
      <c r="L32" s="43">
        <f>+K32+1</f>
        <v>2015</v>
      </c>
      <c r="M32" s="43">
        <f>+L32+1</f>
        <v>2016</v>
      </c>
      <c r="N32" s="43">
        <f>+M32+1</f>
        <v>2017</v>
      </c>
      <c r="O32" s="43">
        <f>+N32+1</f>
        <v>2018</v>
      </c>
    </row>
    <row r="33" spans="1:15" ht="18">
      <c r="A33" s="47">
        <v>30010</v>
      </c>
      <c r="B33" s="14" t="s">
        <v>139</v>
      </c>
      <c r="C33" s="62"/>
      <c r="D33" s="62"/>
      <c r="E33" s="62"/>
      <c r="F33" s="81"/>
      <c r="G33" s="12"/>
      <c r="H33" s="12"/>
      <c r="I33" s="12"/>
      <c r="J33" s="12">
        <v>88267</v>
      </c>
      <c r="K33" s="75">
        <v>140564</v>
      </c>
      <c r="L33" s="75">
        <v>140564</v>
      </c>
      <c r="M33" s="75">
        <v>140564</v>
      </c>
      <c r="N33" s="75">
        <v>140564</v>
      </c>
      <c r="O33" s="75">
        <v>140564</v>
      </c>
    </row>
    <row r="34" spans="1:15" ht="18">
      <c r="A34" s="47">
        <v>42253</v>
      </c>
      <c r="B34" s="14" t="s">
        <v>48</v>
      </c>
      <c r="C34" s="62">
        <v>-16000</v>
      </c>
      <c r="D34" s="62">
        <v>-16000</v>
      </c>
      <c r="E34" s="62">
        <v>-16000</v>
      </c>
      <c r="F34" s="81">
        <v>0</v>
      </c>
      <c r="G34" s="12">
        <v>6000</v>
      </c>
      <c r="H34" s="12">
        <f>+G34</f>
        <v>6000</v>
      </c>
      <c r="I34" s="12">
        <v>66702.83</v>
      </c>
      <c r="J34" s="12">
        <v>12323</v>
      </c>
      <c r="K34" s="75">
        <v>4000</v>
      </c>
      <c r="L34" s="75">
        <v>4000</v>
      </c>
      <c r="M34" s="75">
        <f>+L34</f>
        <v>4000</v>
      </c>
      <c r="N34" s="75">
        <f>+M34</f>
        <v>4000</v>
      </c>
      <c r="O34" s="75">
        <f>+N34</f>
        <v>4000</v>
      </c>
    </row>
    <row r="35" spans="1:15" s="48" customFormat="1" ht="18">
      <c r="A35" s="102">
        <v>34002</v>
      </c>
      <c r="B35" s="48" t="s">
        <v>126</v>
      </c>
      <c r="C35" s="103"/>
      <c r="D35" s="103"/>
      <c r="E35" s="103"/>
      <c r="F35" s="75"/>
      <c r="G35" s="75"/>
      <c r="H35" s="75"/>
      <c r="I35" s="75">
        <v>970903</v>
      </c>
      <c r="J35" s="75">
        <v>599422</v>
      </c>
      <c r="K35" s="75">
        <v>400000</v>
      </c>
      <c r="L35" s="75">
        <v>400000</v>
      </c>
      <c r="M35" s="75">
        <v>400000</v>
      </c>
      <c r="N35" s="75">
        <v>400000</v>
      </c>
      <c r="O35" s="75">
        <v>400000</v>
      </c>
    </row>
    <row r="36" spans="1:15" ht="18">
      <c r="A36" s="12">
        <v>34002</v>
      </c>
      <c r="B36" s="14" t="s">
        <v>158</v>
      </c>
      <c r="C36" s="43"/>
      <c r="D36" s="43"/>
      <c r="E36" s="43"/>
      <c r="F36" s="81"/>
      <c r="G36" s="12"/>
      <c r="H36" s="12">
        <v>23893</v>
      </c>
      <c r="I36" s="12"/>
      <c r="J36" s="12"/>
      <c r="K36" s="75">
        <v>62289</v>
      </c>
      <c r="L36" s="75">
        <v>62531</v>
      </c>
      <c r="M36" s="75">
        <v>62531</v>
      </c>
      <c r="N36" s="75">
        <v>62531</v>
      </c>
      <c r="O36" s="75">
        <v>62531</v>
      </c>
    </row>
    <row r="37" spans="2:15" ht="18">
      <c r="B37" s="14" t="s">
        <v>143</v>
      </c>
      <c r="C37" s="43"/>
      <c r="D37" s="43"/>
      <c r="E37" s="43"/>
      <c r="F37" s="81"/>
      <c r="G37" s="12"/>
      <c r="H37" s="12">
        <v>31459</v>
      </c>
      <c r="I37" s="12"/>
      <c r="J37" s="12"/>
      <c r="K37" s="75">
        <v>52123</v>
      </c>
      <c r="L37" s="75">
        <v>61875</v>
      </c>
      <c r="M37" s="75">
        <v>61875</v>
      </c>
      <c r="N37" s="75">
        <v>61875</v>
      </c>
      <c r="O37" s="75">
        <v>61875</v>
      </c>
    </row>
    <row r="38" spans="2:15" ht="18">
      <c r="B38" s="14" t="s">
        <v>98</v>
      </c>
      <c r="C38" s="43"/>
      <c r="D38" s="43"/>
      <c r="E38" s="43"/>
      <c r="F38" s="81"/>
      <c r="G38" s="12"/>
      <c r="H38" s="12">
        <f>1666.66666666667*8</f>
        <v>13333.333333333334</v>
      </c>
      <c r="I38" s="12"/>
      <c r="J38" s="12"/>
      <c r="K38" s="75">
        <v>17600</v>
      </c>
      <c r="L38" s="75">
        <v>20000</v>
      </c>
      <c r="M38" s="75">
        <v>20000</v>
      </c>
      <c r="N38" s="75">
        <v>20000</v>
      </c>
      <c r="O38" s="75">
        <v>20000</v>
      </c>
    </row>
    <row r="39" spans="2:15" ht="18">
      <c r="B39" s="14" t="s">
        <v>145</v>
      </c>
      <c r="C39" s="43"/>
      <c r="D39" s="43"/>
      <c r="E39" s="43"/>
      <c r="F39" s="81"/>
      <c r="G39" s="12"/>
      <c r="H39" s="12"/>
      <c r="I39" s="12"/>
      <c r="J39" s="12"/>
      <c r="K39" s="75">
        <v>54933</v>
      </c>
      <c r="L39" s="75">
        <v>55351</v>
      </c>
      <c r="M39" s="75">
        <v>55351</v>
      </c>
      <c r="N39" s="75">
        <v>55351</v>
      </c>
      <c r="O39" s="75">
        <v>55351</v>
      </c>
    </row>
    <row r="40" spans="1:15" ht="18">
      <c r="A40" s="47"/>
      <c r="B40" s="14" t="s">
        <v>57</v>
      </c>
      <c r="C40" s="63"/>
      <c r="D40" s="12">
        <v>0</v>
      </c>
      <c r="E40" s="12">
        <v>61000</v>
      </c>
      <c r="F40" s="81">
        <v>61000</v>
      </c>
      <c r="G40" s="12">
        <v>87000</v>
      </c>
      <c r="H40" s="12">
        <v>87000</v>
      </c>
      <c r="I40" s="12"/>
      <c r="J40" s="12"/>
      <c r="K40" s="75">
        <v>82288</v>
      </c>
      <c r="L40" s="75">
        <v>82500</v>
      </c>
      <c r="M40" s="75">
        <v>82500</v>
      </c>
      <c r="N40" s="75">
        <v>82500</v>
      </c>
      <c r="O40" s="75">
        <v>82500</v>
      </c>
    </row>
    <row r="41" spans="1:15" ht="18">
      <c r="A41" s="47"/>
      <c r="B41" s="14" t="s">
        <v>159</v>
      </c>
      <c r="C41" s="63"/>
      <c r="D41" s="12"/>
      <c r="E41" s="12"/>
      <c r="F41" s="81"/>
      <c r="G41" s="12"/>
      <c r="H41" s="12">
        <v>39000</v>
      </c>
      <c r="I41" s="12"/>
      <c r="J41" s="12"/>
      <c r="K41" s="75">
        <v>41552</v>
      </c>
      <c r="L41" s="75">
        <v>41746</v>
      </c>
      <c r="M41" s="75">
        <v>41746</v>
      </c>
      <c r="N41" s="75">
        <v>41746</v>
      </c>
      <c r="O41" s="75">
        <v>41746</v>
      </c>
    </row>
    <row r="42" spans="1:15" ht="18">
      <c r="A42" s="47"/>
      <c r="B42" s="14" t="s">
        <v>144</v>
      </c>
      <c r="C42" s="63"/>
      <c r="D42" s="12"/>
      <c r="E42" s="12"/>
      <c r="F42" s="81"/>
      <c r="G42" s="12"/>
      <c r="H42" s="12"/>
      <c r="I42" s="12"/>
      <c r="J42" s="12"/>
      <c r="K42" s="75"/>
      <c r="L42" s="75">
        <v>312500</v>
      </c>
      <c r="M42" s="75">
        <v>250000</v>
      </c>
      <c r="N42" s="75">
        <v>188000</v>
      </c>
      <c r="O42" s="75">
        <v>188000</v>
      </c>
    </row>
    <row r="43" spans="1:15" ht="18">
      <c r="A43" s="47">
        <v>34319</v>
      </c>
      <c r="B43" s="14" t="s">
        <v>125</v>
      </c>
      <c r="C43" s="63"/>
      <c r="D43" s="12"/>
      <c r="E43" s="12"/>
      <c r="F43" s="81"/>
      <c r="G43" s="12"/>
      <c r="H43" s="94"/>
      <c r="I43" s="75">
        <v>2501.4</v>
      </c>
      <c r="J43" s="75">
        <v>1514</v>
      </c>
      <c r="K43" s="75"/>
      <c r="L43" s="75"/>
      <c r="M43" s="75"/>
      <c r="N43" s="75"/>
      <c r="O43" s="75"/>
    </row>
    <row r="44" spans="2:15" ht="18.75" thickBot="1">
      <c r="B44" s="13"/>
      <c r="C44" s="73">
        <f>SUM(C36:C40)</f>
        <v>0</v>
      </c>
      <c r="D44" s="73">
        <f>SUM(D36:D40)</f>
        <v>0</v>
      </c>
      <c r="E44" s="73">
        <f>SUM(E36:E40)</f>
        <v>61000</v>
      </c>
      <c r="F44" s="82">
        <f>SUM(F36:F40)</f>
        <v>61000</v>
      </c>
      <c r="G44" s="15">
        <f>SUM(G36:G40)</f>
        <v>87000</v>
      </c>
      <c r="H44" s="15">
        <f>SUM(H34:H42)</f>
        <v>200685.3333333333</v>
      </c>
      <c r="I44" s="15">
        <f>SUM(I34:I43)</f>
        <v>1040107.23</v>
      </c>
      <c r="J44" s="15">
        <f aca="true" t="shared" si="4" ref="J44:O44">SUM(J33:J43)</f>
        <v>701526</v>
      </c>
      <c r="K44" s="90">
        <f t="shared" si="4"/>
        <v>855349</v>
      </c>
      <c r="L44" s="90">
        <f t="shared" si="4"/>
        <v>1181067</v>
      </c>
      <c r="M44" s="90">
        <f t="shared" si="4"/>
        <v>1118567</v>
      </c>
      <c r="N44" s="90">
        <f t="shared" si="4"/>
        <v>1056567</v>
      </c>
      <c r="O44" s="90">
        <f t="shared" si="4"/>
        <v>1056567</v>
      </c>
    </row>
    <row r="45" spans="2:15" ht="18.75" thickTop="1">
      <c r="B45" s="13"/>
      <c r="C45" s="43"/>
      <c r="D45" s="64"/>
      <c r="E45" s="64"/>
      <c r="F45" s="83"/>
      <c r="G45" s="64"/>
      <c r="H45" s="64"/>
      <c r="I45" s="64"/>
      <c r="J45" s="64"/>
      <c r="K45" s="64"/>
      <c r="L45" s="64"/>
      <c r="M45" s="64"/>
      <c r="N45" s="64"/>
      <c r="O45" s="64"/>
    </row>
    <row r="46" spans="2:15" ht="18.75" thickBot="1">
      <c r="B46" s="54" t="s">
        <v>50</v>
      </c>
      <c r="C46" s="43"/>
      <c r="D46" s="55">
        <f aca="true" t="shared" si="5" ref="D46:O46">+D29-D44</f>
        <v>2138000.34</v>
      </c>
      <c r="E46" s="70">
        <f t="shared" si="5"/>
        <v>2157516</v>
      </c>
      <c r="F46" s="82">
        <f t="shared" si="5"/>
        <v>2455786</v>
      </c>
      <c r="G46" s="15">
        <f t="shared" si="5"/>
        <v>2700078</v>
      </c>
      <c r="H46" s="15">
        <f t="shared" si="5"/>
        <v>2644659.0833333335</v>
      </c>
      <c r="I46" s="15">
        <f t="shared" si="5"/>
        <v>2062156.0699999998</v>
      </c>
      <c r="J46" s="15">
        <f t="shared" si="5"/>
        <v>2656275</v>
      </c>
      <c r="K46" s="15">
        <f t="shared" si="5"/>
        <v>2668591</v>
      </c>
      <c r="L46" s="15">
        <f t="shared" si="5"/>
        <v>1956481</v>
      </c>
      <c r="M46" s="15">
        <f t="shared" si="5"/>
        <v>1956481</v>
      </c>
      <c r="N46" s="15">
        <f t="shared" si="5"/>
        <v>1956481</v>
      </c>
      <c r="O46" s="15">
        <f t="shared" si="5"/>
        <v>1956482</v>
      </c>
    </row>
    <row r="47" spans="2:10" ht="18.75" thickTop="1">
      <c r="B47" s="54"/>
      <c r="C47" s="43"/>
      <c r="D47" s="64"/>
      <c r="E47" s="64"/>
      <c r="F47" s="83"/>
      <c r="G47" s="64"/>
      <c r="H47" s="64"/>
      <c r="I47" s="64"/>
      <c r="J47" s="64"/>
    </row>
    <row r="48" spans="2:10" ht="18">
      <c r="B48" s="87" t="s">
        <v>74</v>
      </c>
      <c r="C48" s="43"/>
      <c r="D48" s="64"/>
      <c r="E48" s="64"/>
      <c r="F48" s="83"/>
      <c r="G48" s="64"/>
      <c r="H48" s="64"/>
      <c r="I48" s="64"/>
      <c r="J48" s="64"/>
    </row>
    <row r="49" spans="2:10" ht="18">
      <c r="B49" s="88" t="s">
        <v>14</v>
      </c>
      <c r="C49" s="43"/>
      <c r="D49" s="64"/>
      <c r="E49" s="64"/>
      <c r="F49" s="83"/>
      <c r="G49" s="64"/>
      <c r="H49" s="64"/>
      <c r="I49" s="64"/>
      <c r="J49" s="64"/>
    </row>
    <row r="50" spans="1:10" ht="18">
      <c r="A50" s="47" t="s">
        <v>24</v>
      </c>
      <c r="B50" s="96" t="s">
        <v>115</v>
      </c>
      <c r="C50" s="43"/>
      <c r="D50" s="64"/>
      <c r="E50" s="64"/>
      <c r="F50" s="83"/>
      <c r="G50" s="64"/>
      <c r="H50" s="64"/>
      <c r="I50" s="64"/>
      <c r="J50" s="64"/>
    </row>
    <row r="51" spans="1:10" ht="18">
      <c r="A51" s="47"/>
      <c r="B51" s="96" t="s">
        <v>155</v>
      </c>
      <c r="C51" s="43"/>
      <c r="D51" s="64"/>
      <c r="E51" s="64"/>
      <c r="F51" s="83"/>
      <c r="G51" s="64"/>
      <c r="H51" s="64"/>
      <c r="I51" s="64"/>
      <c r="J51" s="64"/>
    </row>
    <row r="52" spans="1:10" ht="18">
      <c r="A52" s="47"/>
      <c r="B52" s="96" t="s">
        <v>156</v>
      </c>
      <c r="C52" s="43"/>
      <c r="D52" s="64"/>
      <c r="E52" s="64"/>
      <c r="F52" s="83"/>
      <c r="G52" s="64"/>
      <c r="H52" s="64"/>
      <c r="I52" s="64"/>
      <c r="J52" s="64"/>
    </row>
    <row r="53" spans="1:10" ht="18">
      <c r="A53" s="47"/>
      <c r="B53" s="96" t="s">
        <v>157</v>
      </c>
      <c r="C53" s="43"/>
      <c r="D53" s="64"/>
      <c r="E53" s="64"/>
      <c r="F53" s="83"/>
      <c r="G53" s="64"/>
      <c r="H53" s="64"/>
      <c r="I53" s="64"/>
      <c r="J53" s="64"/>
    </row>
    <row r="54" spans="1:2" s="48" customFormat="1" ht="18">
      <c r="A54" s="102" t="s">
        <v>56</v>
      </c>
      <c r="B54" s="48" t="s">
        <v>127</v>
      </c>
    </row>
    <row r="55" spans="1:2" ht="18">
      <c r="A55" s="12">
        <v>30001</v>
      </c>
      <c r="B55" s="14" t="s">
        <v>146</v>
      </c>
    </row>
    <row r="56" ht="18">
      <c r="B56" s="14" t="s">
        <v>147</v>
      </c>
    </row>
    <row r="57" ht="18">
      <c r="B57" s="14" t="s">
        <v>148</v>
      </c>
    </row>
    <row r="58" ht="18">
      <c r="B58" s="14" t="s">
        <v>150</v>
      </c>
    </row>
    <row r="59" ht="12.75"/>
    <row r="60" ht="18">
      <c r="B60" s="89" t="s">
        <v>22</v>
      </c>
    </row>
    <row r="61" spans="1:2" ht="18">
      <c r="A61" s="12">
        <v>42253</v>
      </c>
      <c r="B61" s="14" t="s">
        <v>76</v>
      </c>
    </row>
    <row r="62" spans="1:13" ht="18">
      <c r="A62" s="12">
        <v>34002</v>
      </c>
      <c r="B62" s="48" t="s">
        <v>112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ht="18">
      <c r="B63" s="48" t="s">
        <v>151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2:13" ht="18">
      <c r="B64" s="48" t="s">
        <v>109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2:13" ht="18">
      <c r="B65" s="48" t="s">
        <v>75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2:13" ht="18">
      <c r="B66" s="48" t="s">
        <v>142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2:13" ht="18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2:13" ht="18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7" ht="18">
      <c r="A69" s="12">
        <v>30010</v>
      </c>
      <c r="B69" s="16" t="s">
        <v>141</v>
      </c>
      <c r="C69" s="16"/>
      <c r="D69" s="16"/>
      <c r="E69" s="16"/>
      <c r="F69" s="76"/>
      <c r="G69" s="16"/>
    </row>
    <row r="70" spans="2:7" ht="18">
      <c r="B70" s="105" t="s">
        <v>140</v>
      </c>
      <c r="C70" s="18"/>
      <c r="D70" s="18"/>
      <c r="E70" s="18"/>
      <c r="F70" s="84"/>
      <c r="G70" s="18"/>
    </row>
    <row r="71" spans="1:2" s="48" customFormat="1" ht="18">
      <c r="A71" s="75"/>
      <c r="B71" s="48" t="s">
        <v>114</v>
      </c>
    </row>
    <row r="72" spans="1:2" s="48" customFormat="1" ht="18">
      <c r="A72" s="75"/>
      <c r="B72" s="48" t="s">
        <v>113</v>
      </c>
    </row>
    <row r="73" spans="2:7" ht="18">
      <c r="B73" s="16"/>
      <c r="C73" s="20"/>
      <c r="D73" s="20"/>
      <c r="E73" s="20"/>
      <c r="F73" s="85"/>
      <c r="G73" s="20"/>
    </row>
    <row r="74" spans="1:7" ht="18">
      <c r="A74" s="12">
        <v>30001</v>
      </c>
      <c r="B74" s="16" t="s">
        <v>149</v>
      </c>
      <c r="C74" s="19"/>
      <c r="D74" s="16"/>
      <c r="E74" s="16"/>
      <c r="F74" s="76"/>
      <c r="G74" s="16"/>
    </row>
    <row r="75" spans="2:7" ht="18">
      <c r="B75" s="16"/>
      <c r="C75" s="19"/>
      <c r="D75" s="16"/>
      <c r="E75" s="16"/>
      <c r="F75" s="76"/>
      <c r="G75" s="16"/>
    </row>
    <row r="76" spans="2:7" ht="18">
      <c r="B76" s="17"/>
      <c r="C76" s="18"/>
      <c r="D76" s="18"/>
      <c r="E76" s="18"/>
      <c r="F76" s="84"/>
      <c r="G76" s="18"/>
    </row>
    <row r="77" spans="2:7" ht="18">
      <c r="B77" s="16"/>
      <c r="C77" s="16"/>
      <c r="D77" s="16"/>
      <c r="E77" s="16"/>
      <c r="F77" s="76"/>
      <c r="G77" s="16"/>
    </row>
    <row r="78" spans="2:7" ht="18">
      <c r="B78" s="13"/>
      <c r="C78" s="18"/>
      <c r="D78" s="18"/>
      <c r="E78" s="18"/>
      <c r="F78" s="84"/>
      <c r="G78" s="18"/>
    </row>
    <row r="80" spans="3:7" ht="18">
      <c r="C80" s="21"/>
      <c r="D80" s="21"/>
      <c r="E80" s="21"/>
      <c r="F80" s="86"/>
      <c r="G80" s="21"/>
    </row>
  </sheetData>
  <sheetProtection/>
  <printOptions/>
  <pageMargins left="0.75" right="0.75" top="1" bottom="1" header="0.5" footer="0.5"/>
  <pageSetup horizontalDpi="600" verticalDpi="600" orientation="portrait" paperSize="9" scale="45" r:id="rId1"/>
  <headerFooter alignWithMargins="0">
    <oddFooter>&amp;LBegroting IGSD apparaatskosten 2015 - 2018&amp;R39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O96"/>
  <sheetViews>
    <sheetView zoomScale="75" zoomScaleNormal="75" zoomScalePageLayoutView="0" workbookViewId="0" topLeftCell="A1">
      <selection activeCell="J27" sqref="J27"/>
    </sheetView>
  </sheetViews>
  <sheetFormatPr defaultColWidth="9.140625" defaultRowHeight="12.75"/>
  <cols>
    <col min="1" max="1" width="11.28125" style="25" bestFit="1" customWidth="1"/>
    <col min="2" max="2" width="49.57421875" style="27" customWidth="1"/>
    <col min="3" max="4" width="14.28125" style="27" hidden="1" customWidth="1"/>
    <col min="5" max="5" width="16.421875" style="27" hidden="1" customWidth="1"/>
    <col min="6" max="6" width="14.28125" style="27" hidden="1" customWidth="1"/>
    <col min="7" max="8" width="14.8515625" style="27" hidden="1" customWidth="1"/>
    <col min="9" max="9" width="14.8515625" style="27" customWidth="1"/>
    <col min="10" max="10" width="12.7109375" style="27" customWidth="1"/>
    <col min="11" max="11" width="13.00390625" style="27" bestFit="1" customWidth="1"/>
    <col min="12" max="12" width="12.00390625" style="27" bestFit="1" customWidth="1"/>
    <col min="13" max="14" width="13.00390625" style="27" bestFit="1" customWidth="1"/>
    <col min="15" max="16384" width="9.140625" style="27" customWidth="1"/>
  </cols>
  <sheetData>
    <row r="4" ht="22.5">
      <c r="B4" s="93" t="s">
        <v>129</v>
      </c>
    </row>
    <row r="5" ht="25.5">
      <c r="B5" s="29"/>
    </row>
    <row r="6" spans="1:14" s="14" customFormat="1" ht="54">
      <c r="A6" s="12"/>
      <c r="H6" s="97" t="s">
        <v>116</v>
      </c>
      <c r="I6" s="97" t="s">
        <v>116</v>
      </c>
      <c r="J6" s="97" t="s">
        <v>117</v>
      </c>
      <c r="K6" s="27"/>
      <c r="L6" s="27"/>
      <c r="M6" s="27"/>
      <c r="N6" s="27"/>
    </row>
    <row r="7" spans="1:14" s="14" customFormat="1" ht="18">
      <c r="A7" s="12"/>
      <c r="B7" s="14" t="s">
        <v>14</v>
      </c>
      <c r="C7" s="43">
        <v>2006</v>
      </c>
      <c r="D7" s="43">
        <v>2007</v>
      </c>
      <c r="E7" s="43">
        <v>2008</v>
      </c>
      <c r="F7" s="43">
        <v>2010</v>
      </c>
      <c r="G7" s="43">
        <v>2012</v>
      </c>
      <c r="H7" s="43">
        <v>2011</v>
      </c>
      <c r="I7" s="43">
        <v>2013</v>
      </c>
      <c r="J7" s="43">
        <v>2014</v>
      </c>
      <c r="K7" s="43">
        <f>+J7+1</f>
        <v>2015</v>
      </c>
      <c r="L7" s="43">
        <f>+K7+1</f>
        <v>2016</v>
      </c>
      <c r="M7" s="43">
        <f>+L7+1</f>
        <v>2017</v>
      </c>
      <c r="N7" s="43">
        <f>+M7+1</f>
        <v>2018</v>
      </c>
    </row>
    <row r="8" spans="1:14" s="14" customFormat="1" ht="18">
      <c r="A8" s="1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s="14" customFormat="1" ht="18">
      <c r="A9" s="44" t="s">
        <v>27</v>
      </c>
      <c r="B9" s="45" t="s">
        <v>18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5" s="14" customFormat="1" ht="18">
      <c r="A10" s="47" t="s">
        <v>40</v>
      </c>
      <c r="B10" s="14" t="s">
        <v>77</v>
      </c>
      <c r="C10" s="46">
        <v>98000</v>
      </c>
      <c r="D10" s="46">
        <v>98000</v>
      </c>
      <c r="E10" s="46">
        <f>981*127</f>
        <v>124587</v>
      </c>
      <c r="F10" s="49" t="e">
        <f>+#REF!</f>
        <v>#REF!</v>
      </c>
      <c r="G10" s="46" t="e">
        <f>+#REF!</f>
        <v>#REF!</v>
      </c>
      <c r="H10" s="46">
        <v>312691.9</v>
      </c>
      <c r="I10" s="46">
        <v>329635</v>
      </c>
      <c r="J10" s="49">
        <v>333448</v>
      </c>
      <c r="K10" s="49">
        <f>+'[4]Huursom'!$G$5</f>
        <v>343128</v>
      </c>
      <c r="L10" s="49">
        <f>+'[4]Huursom'!$H$5</f>
        <v>349990.56</v>
      </c>
      <c r="M10" s="49">
        <f>+'[4]Huursom'!$I$5</f>
        <v>356990.3712</v>
      </c>
      <c r="N10" s="49">
        <f>+'[4]Huursom'!$J$5</f>
        <v>364130.178624</v>
      </c>
      <c r="O10" s="48"/>
    </row>
    <row r="11" spans="1:15" s="14" customFormat="1" ht="18">
      <c r="A11" s="47">
        <v>31001</v>
      </c>
      <c r="B11" s="14" t="s">
        <v>85</v>
      </c>
      <c r="C11" s="49">
        <v>17000</v>
      </c>
      <c r="D11" s="46">
        <v>17000</v>
      </c>
      <c r="E11" s="46">
        <f>+D11*1.0575</f>
        <v>17977.5</v>
      </c>
      <c r="F11" s="49">
        <v>15000</v>
      </c>
      <c r="G11" s="46">
        <v>10000</v>
      </c>
      <c r="H11" s="46">
        <v>648.76</v>
      </c>
      <c r="I11" s="46">
        <v>4591</v>
      </c>
      <c r="J11" s="49">
        <f>+G11</f>
        <v>10000</v>
      </c>
      <c r="K11" s="49">
        <f aca="true" t="shared" si="0" ref="K11:M12">+J11</f>
        <v>10000</v>
      </c>
      <c r="L11" s="49">
        <f t="shared" si="0"/>
        <v>10000</v>
      </c>
      <c r="M11" s="49">
        <f t="shared" si="0"/>
        <v>10000</v>
      </c>
      <c r="N11" s="49">
        <f>+M11</f>
        <v>10000</v>
      </c>
      <c r="O11" s="48"/>
    </row>
    <row r="12" spans="1:15" s="14" customFormat="1" ht="18">
      <c r="A12" s="47">
        <v>31002</v>
      </c>
      <c r="B12" s="14" t="s">
        <v>86</v>
      </c>
      <c r="C12" s="49"/>
      <c r="D12" s="46"/>
      <c r="E12" s="46"/>
      <c r="F12" s="49"/>
      <c r="G12" s="46">
        <v>19000</v>
      </c>
      <c r="H12" s="46">
        <v>26499.68</v>
      </c>
      <c r="I12" s="46">
        <v>31498</v>
      </c>
      <c r="J12" s="49">
        <v>30000</v>
      </c>
      <c r="K12" s="49">
        <f t="shared" si="0"/>
        <v>30000</v>
      </c>
      <c r="L12" s="49">
        <f t="shared" si="0"/>
        <v>30000</v>
      </c>
      <c r="M12" s="49">
        <f t="shared" si="0"/>
        <v>30000</v>
      </c>
      <c r="N12" s="49">
        <f>+M12</f>
        <v>30000</v>
      </c>
      <c r="O12" s="48"/>
    </row>
    <row r="13" spans="1:15" s="14" customFormat="1" ht="18">
      <c r="A13" s="47">
        <v>31003</v>
      </c>
      <c r="B13" s="14" t="s">
        <v>80</v>
      </c>
      <c r="C13" s="49"/>
      <c r="D13" s="46"/>
      <c r="E13" s="46"/>
      <c r="F13" s="49">
        <v>3500</v>
      </c>
      <c r="G13" s="49">
        <v>2000</v>
      </c>
      <c r="H13" s="49">
        <f>473.14+479.27</f>
        <v>952.41</v>
      </c>
      <c r="I13" s="49">
        <v>633</v>
      </c>
      <c r="J13" s="49">
        <v>1000</v>
      </c>
      <c r="K13" s="49">
        <v>1000</v>
      </c>
      <c r="L13" s="49">
        <f>+K13</f>
        <v>1000</v>
      </c>
      <c r="M13" s="49">
        <f>+L13</f>
        <v>1000</v>
      </c>
      <c r="N13" s="49">
        <f>+M13</f>
        <v>1000</v>
      </c>
      <c r="O13" s="48"/>
    </row>
    <row r="14" spans="1:15" s="14" customFormat="1" ht="18">
      <c r="A14" s="47">
        <v>33300</v>
      </c>
      <c r="B14" s="14" t="s">
        <v>133</v>
      </c>
      <c r="C14" s="49"/>
      <c r="D14" s="46"/>
      <c r="E14" s="46"/>
      <c r="F14" s="49"/>
      <c r="G14" s="49"/>
      <c r="H14" s="49"/>
      <c r="I14" s="49">
        <v>8421</v>
      </c>
      <c r="J14" s="49"/>
      <c r="K14" s="49"/>
      <c r="L14" s="49"/>
      <c r="M14" s="49"/>
      <c r="N14" s="49"/>
      <c r="O14" s="48"/>
    </row>
    <row r="15" spans="1:15" s="14" customFormat="1" ht="18">
      <c r="A15" s="47">
        <v>34304</v>
      </c>
      <c r="B15" s="14" t="s">
        <v>68</v>
      </c>
      <c r="C15" s="49"/>
      <c r="D15" s="46"/>
      <c r="E15" s="46"/>
      <c r="F15" s="49"/>
      <c r="G15" s="49"/>
      <c r="H15" s="49">
        <v>127</v>
      </c>
      <c r="I15" s="49"/>
      <c r="J15" s="49">
        <v>1000</v>
      </c>
      <c r="K15" s="49"/>
      <c r="L15" s="49"/>
      <c r="M15" s="49"/>
      <c r="N15" s="49"/>
      <c r="O15" s="48"/>
    </row>
    <row r="16" spans="1:15" s="14" customFormat="1" ht="18">
      <c r="A16" s="12">
        <v>61000</v>
      </c>
      <c r="B16" s="14" t="s">
        <v>84</v>
      </c>
      <c r="C16" s="49"/>
      <c r="D16" s="46"/>
      <c r="E16" s="46">
        <v>47000</v>
      </c>
      <c r="F16" s="49">
        <v>60000</v>
      </c>
      <c r="G16" s="46">
        <f>+'KPL kapitaallasten'!H18</f>
        <v>101206</v>
      </c>
      <c r="H16" s="46">
        <f>100279.67+32513.55</f>
        <v>132793.22</v>
      </c>
      <c r="I16" s="46">
        <v>117960</v>
      </c>
      <c r="J16" s="49">
        <f>+'KPL kapitaallasten'!K18</f>
        <v>109699</v>
      </c>
      <c r="K16" s="49">
        <f>+'KPL kapitaallasten'!L18</f>
        <v>105730</v>
      </c>
      <c r="L16" s="49">
        <f>+'KPL kapitaallasten'!M18</f>
        <v>102373</v>
      </c>
      <c r="M16" s="49">
        <f>+'KPL kapitaallasten'!N18</f>
        <v>99018</v>
      </c>
      <c r="N16" s="49">
        <f>+'KPL kapitaallasten'!O18</f>
        <v>82396</v>
      </c>
      <c r="O16" s="48"/>
    </row>
    <row r="17" spans="1:15" s="14" customFormat="1" ht="18">
      <c r="A17" s="47" t="s">
        <v>41</v>
      </c>
      <c r="B17" s="14" t="s">
        <v>1</v>
      </c>
      <c r="C17" s="49">
        <v>10000</v>
      </c>
      <c r="D17" s="46">
        <v>10000</v>
      </c>
      <c r="E17" s="46">
        <f>+D17*1.0575</f>
        <v>10575.000000000002</v>
      </c>
      <c r="F17" s="46">
        <f>+E17</f>
        <v>10575.000000000002</v>
      </c>
      <c r="G17" s="46">
        <v>5000</v>
      </c>
      <c r="H17" s="46">
        <f>2692.65+3054.64</f>
        <v>5747.29</v>
      </c>
      <c r="I17" s="46">
        <v>3163</v>
      </c>
      <c r="J17" s="49">
        <f>+G17</f>
        <v>5000</v>
      </c>
      <c r="K17" s="49">
        <f aca="true" t="shared" si="1" ref="K17:L21">+J17</f>
        <v>5000</v>
      </c>
      <c r="L17" s="49">
        <f t="shared" si="1"/>
        <v>5000</v>
      </c>
      <c r="M17" s="49">
        <f aca="true" t="shared" si="2" ref="M17:N19">+L17</f>
        <v>5000</v>
      </c>
      <c r="N17" s="49">
        <f t="shared" si="2"/>
        <v>5000</v>
      </c>
      <c r="O17" s="48"/>
    </row>
    <row r="18" spans="1:15" s="14" customFormat="1" ht="18">
      <c r="A18" s="47" t="s">
        <v>42</v>
      </c>
      <c r="B18" s="14" t="s">
        <v>2</v>
      </c>
      <c r="C18" s="49">
        <v>11000</v>
      </c>
      <c r="D18" s="46">
        <v>11000</v>
      </c>
      <c r="E18" s="46">
        <f>+D18*1.0575</f>
        <v>11632.500000000002</v>
      </c>
      <c r="F18" s="46">
        <f>+E18</f>
        <v>11632.500000000002</v>
      </c>
      <c r="G18" s="46">
        <v>5000</v>
      </c>
      <c r="H18" s="46">
        <v>1713.96</v>
      </c>
      <c r="I18" s="46">
        <v>1385</v>
      </c>
      <c r="J18" s="49">
        <v>3000</v>
      </c>
      <c r="K18" s="49">
        <f t="shared" si="1"/>
        <v>3000</v>
      </c>
      <c r="L18" s="49">
        <f t="shared" si="1"/>
        <v>3000</v>
      </c>
      <c r="M18" s="49">
        <f t="shared" si="2"/>
        <v>3000</v>
      </c>
      <c r="N18" s="49">
        <f t="shared" si="2"/>
        <v>3000</v>
      </c>
      <c r="O18" s="48"/>
    </row>
    <row r="19" spans="1:15" s="14" customFormat="1" ht="18">
      <c r="A19" s="47" t="s">
        <v>43</v>
      </c>
      <c r="B19" s="14" t="s">
        <v>106</v>
      </c>
      <c r="C19" s="49">
        <v>19000</v>
      </c>
      <c r="D19" s="46">
        <v>19000</v>
      </c>
      <c r="E19" s="46">
        <f>+D19*1.0575</f>
        <v>20092.500000000004</v>
      </c>
      <c r="F19" s="46">
        <v>40000</v>
      </c>
      <c r="G19" s="46">
        <v>48000</v>
      </c>
      <c r="H19" s="46">
        <v>47541.28</v>
      </c>
      <c r="I19" s="46">
        <v>52566</v>
      </c>
      <c r="J19" s="49">
        <v>51000</v>
      </c>
      <c r="K19" s="49">
        <v>51000</v>
      </c>
      <c r="L19" s="49">
        <v>53000</v>
      </c>
      <c r="M19" s="49">
        <f t="shared" si="2"/>
        <v>53000</v>
      </c>
      <c r="N19" s="49">
        <f t="shared" si="2"/>
        <v>53000</v>
      </c>
      <c r="O19" s="48"/>
    </row>
    <row r="20" spans="1:15" s="14" customFormat="1" ht="18">
      <c r="A20" s="47"/>
      <c r="B20" s="14" t="s">
        <v>105</v>
      </c>
      <c r="C20" s="49"/>
      <c r="D20" s="46"/>
      <c r="E20" s="46"/>
      <c r="F20" s="46">
        <v>2700</v>
      </c>
      <c r="G20" s="46"/>
      <c r="H20" s="46"/>
      <c r="I20" s="46"/>
      <c r="J20" s="49"/>
      <c r="K20" s="49"/>
      <c r="L20" s="49"/>
      <c r="M20" s="49"/>
      <c r="N20" s="49"/>
      <c r="O20" s="48"/>
    </row>
    <row r="21" spans="1:15" s="14" customFormat="1" ht="18">
      <c r="A21" s="47" t="s">
        <v>44</v>
      </c>
      <c r="B21" s="14" t="s">
        <v>3</v>
      </c>
      <c r="C21" s="49">
        <v>7000</v>
      </c>
      <c r="D21" s="46">
        <v>7000</v>
      </c>
      <c r="E21" s="46">
        <f>+D21*1.0575</f>
        <v>7402.500000000001</v>
      </c>
      <c r="F21" s="46">
        <v>14000</v>
      </c>
      <c r="G21" s="46">
        <f>+F21</f>
        <v>14000</v>
      </c>
      <c r="H21" s="46">
        <v>14308.83</v>
      </c>
      <c r="I21" s="46">
        <v>15568</v>
      </c>
      <c r="J21" s="49">
        <v>16000</v>
      </c>
      <c r="K21" s="49">
        <f t="shared" si="1"/>
        <v>16000</v>
      </c>
      <c r="L21" s="49">
        <f t="shared" si="1"/>
        <v>16000</v>
      </c>
      <c r="M21" s="49">
        <f>+L21</f>
        <v>16000</v>
      </c>
      <c r="N21" s="49">
        <f>+M21</f>
        <v>16000</v>
      </c>
      <c r="O21" s="48"/>
    </row>
    <row r="22" spans="1:15" s="14" customFormat="1" ht="18.75" thickBot="1">
      <c r="A22" s="47"/>
      <c r="C22" s="15">
        <f>SUM(C10:C21)</f>
        <v>162000</v>
      </c>
      <c r="D22" s="15">
        <f>SUM(D10:D21)</f>
        <v>162000</v>
      </c>
      <c r="E22" s="69">
        <f>SUM(E10:E21)</f>
        <v>239267</v>
      </c>
      <c r="F22" s="69" t="e">
        <f>SUM(F10:F21)</f>
        <v>#REF!</v>
      </c>
      <c r="G22" s="69" t="e">
        <f>SUM(G10:G21)</f>
        <v>#REF!</v>
      </c>
      <c r="H22" s="69">
        <f aca="true" t="shared" si="3" ref="H22:N22">SUM(H10:H21)</f>
        <v>543024.33</v>
      </c>
      <c r="I22" s="69">
        <f t="shared" si="3"/>
        <v>565420</v>
      </c>
      <c r="J22" s="99">
        <f t="shared" si="3"/>
        <v>560147</v>
      </c>
      <c r="K22" s="99">
        <f t="shared" si="3"/>
        <v>564858</v>
      </c>
      <c r="L22" s="99">
        <f t="shared" si="3"/>
        <v>570363.56</v>
      </c>
      <c r="M22" s="99">
        <f t="shared" si="3"/>
        <v>574008.3711999999</v>
      </c>
      <c r="N22" s="99">
        <f t="shared" si="3"/>
        <v>564526.1786239999</v>
      </c>
      <c r="O22" s="48"/>
    </row>
    <row r="23" spans="1:15" s="14" customFormat="1" ht="18.75" thickTop="1">
      <c r="A23" s="47"/>
      <c r="C23" s="35"/>
      <c r="D23" s="35"/>
      <c r="E23" s="19"/>
      <c r="F23" s="19"/>
      <c r="G23" s="19"/>
      <c r="H23" s="19"/>
      <c r="I23" s="19"/>
      <c r="J23" s="100"/>
      <c r="K23" s="100"/>
      <c r="L23" s="100"/>
      <c r="M23" s="100"/>
      <c r="N23" s="100"/>
      <c r="O23" s="48"/>
    </row>
    <row r="24" spans="1:15" s="14" customFormat="1" ht="54">
      <c r="A24" s="12"/>
      <c r="C24" s="46"/>
      <c r="D24" s="46"/>
      <c r="E24" s="46"/>
      <c r="F24" s="46"/>
      <c r="G24" s="46"/>
      <c r="H24" s="97" t="s">
        <v>116</v>
      </c>
      <c r="I24" s="97" t="s">
        <v>116</v>
      </c>
      <c r="J24" s="97" t="s">
        <v>117</v>
      </c>
      <c r="K24" s="27"/>
      <c r="L24" s="27"/>
      <c r="M24" s="27"/>
      <c r="N24" s="27"/>
      <c r="O24" s="48"/>
    </row>
    <row r="25" spans="1:15" s="14" customFormat="1" ht="18">
      <c r="A25" s="12"/>
      <c r="B25" s="14" t="s">
        <v>78</v>
      </c>
      <c r="C25" s="43"/>
      <c r="D25" s="43"/>
      <c r="E25" s="43"/>
      <c r="F25" s="43">
        <f>+F7</f>
        <v>2010</v>
      </c>
      <c r="G25" s="43">
        <f>+G7</f>
        <v>2012</v>
      </c>
      <c r="H25" s="43">
        <v>2011</v>
      </c>
      <c r="I25" s="43">
        <v>2013</v>
      </c>
      <c r="J25" s="43">
        <v>2014</v>
      </c>
      <c r="K25" s="43">
        <f>+J25+1</f>
        <v>2015</v>
      </c>
      <c r="L25" s="43">
        <f>+K25+1</f>
        <v>2016</v>
      </c>
      <c r="M25" s="43">
        <f>+L25+1</f>
        <v>2017</v>
      </c>
      <c r="N25" s="43">
        <f>+M25+1</f>
        <v>2018</v>
      </c>
      <c r="O25" s="48"/>
    </row>
    <row r="26" spans="1:15" s="14" customFormat="1" ht="18">
      <c r="A26" s="12"/>
      <c r="C26" s="46"/>
      <c r="D26" s="46"/>
      <c r="E26" s="46"/>
      <c r="F26" s="46"/>
      <c r="G26" s="46"/>
      <c r="H26" s="46"/>
      <c r="I26" s="46"/>
      <c r="J26" s="48"/>
      <c r="K26" s="48"/>
      <c r="L26" s="48"/>
      <c r="M26" s="48"/>
      <c r="N26" s="48"/>
      <c r="O26" s="48"/>
    </row>
    <row r="27" spans="1:15" s="14" customFormat="1" ht="18">
      <c r="A27" s="12">
        <v>34001</v>
      </c>
      <c r="B27" s="14" t="s">
        <v>79</v>
      </c>
      <c r="C27" s="46"/>
      <c r="D27" s="46"/>
      <c r="E27" s="46"/>
      <c r="F27" s="46">
        <v>74191</v>
      </c>
      <c r="G27" s="46">
        <v>300000</v>
      </c>
      <c r="H27" s="46">
        <v>297796.36</v>
      </c>
      <c r="I27" s="46">
        <v>228680</v>
      </c>
      <c r="J27" s="49">
        <v>203585</v>
      </c>
      <c r="K27" s="49">
        <f>+'[4]Huursom'!$G$21</f>
        <v>197213.28</v>
      </c>
      <c r="L27" s="49">
        <f>+'[4]Huursom'!$H$21</f>
        <v>197671.5456</v>
      </c>
      <c r="M27" s="49">
        <f>+'[4]Huursom'!$I$21</f>
        <v>198138.976512</v>
      </c>
      <c r="N27" s="49">
        <f>+'[4]Huursom'!$J$21</f>
        <v>198615.75604224</v>
      </c>
      <c r="O27" s="48"/>
    </row>
    <row r="28" spans="1:15" s="14" customFormat="1" ht="18.75" thickBot="1">
      <c r="A28" s="12"/>
      <c r="C28" s="46"/>
      <c r="D28" s="46"/>
      <c r="E28" s="46"/>
      <c r="F28" s="69">
        <f aca="true" t="shared" si="4" ref="F28:N28">SUM(F27:F27)</f>
        <v>74191</v>
      </c>
      <c r="G28" s="69">
        <f t="shared" si="4"/>
        <v>300000</v>
      </c>
      <c r="H28" s="69">
        <f>SUM(H27:H27)</f>
        <v>297796.36</v>
      </c>
      <c r="I28" s="69">
        <f>SUM(I27:I27)</f>
        <v>228680</v>
      </c>
      <c r="J28" s="99">
        <f t="shared" si="4"/>
        <v>203585</v>
      </c>
      <c r="K28" s="99">
        <f t="shared" si="4"/>
        <v>197213.28</v>
      </c>
      <c r="L28" s="99">
        <f t="shared" si="4"/>
        <v>197671.5456</v>
      </c>
      <c r="M28" s="99">
        <f t="shared" si="4"/>
        <v>198138.976512</v>
      </c>
      <c r="N28" s="99">
        <f t="shared" si="4"/>
        <v>198615.75604224</v>
      </c>
      <c r="O28" s="48"/>
    </row>
    <row r="29" spans="1:15" s="14" customFormat="1" ht="18.75" thickTop="1">
      <c r="A29" s="12"/>
      <c r="C29" s="46"/>
      <c r="D29" s="46"/>
      <c r="E29" s="46"/>
      <c r="F29" s="46"/>
      <c r="G29" s="46"/>
      <c r="H29" s="46"/>
      <c r="I29" s="46"/>
      <c r="J29" s="49"/>
      <c r="K29" s="49"/>
      <c r="L29" s="49"/>
      <c r="M29" s="49"/>
      <c r="N29" s="49"/>
      <c r="O29" s="48"/>
    </row>
    <row r="30" spans="1:14" s="14" customFormat="1" ht="18.75" thickBot="1">
      <c r="A30" s="12"/>
      <c r="B30" s="14" t="s">
        <v>50</v>
      </c>
      <c r="C30" s="43"/>
      <c r="D30" s="55">
        <f>+D24-D28</f>
        <v>0</v>
      </c>
      <c r="E30" s="70">
        <f>+E24-E28</f>
        <v>0</v>
      </c>
      <c r="F30" s="90" t="e">
        <f aca="true" t="shared" si="5" ref="F30:M30">+F22-F28</f>
        <v>#REF!</v>
      </c>
      <c r="G30" s="90" t="e">
        <f t="shared" si="5"/>
        <v>#REF!</v>
      </c>
      <c r="H30" s="90">
        <f t="shared" si="5"/>
        <v>245227.96999999997</v>
      </c>
      <c r="I30" s="90">
        <f t="shared" si="5"/>
        <v>336740</v>
      </c>
      <c r="J30" s="90">
        <f t="shared" si="5"/>
        <v>356562</v>
      </c>
      <c r="K30" s="90">
        <f t="shared" si="5"/>
        <v>367644.72</v>
      </c>
      <c r="L30" s="90">
        <f t="shared" si="5"/>
        <v>372692.01440000004</v>
      </c>
      <c r="M30" s="90">
        <f t="shared" si="5"/>
        <v>375869.394688</v>
      </c>
      <c r="N30" s="90">
        <f>+N22-N28</f>
        <v>365910.4225817599</v>
      </c>
    </row>
    <row r="31" spans="1:13" s="14" customFormat="1" ht="18.75" thickTop="1">
      <c r="A31" s="12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9" s="14" customFormat="1" ht="18">
      <c r="A32" s="12"/>
      <c r="C32" s="46"/>
      <c r="D32" s="46"/>
      <c r="E32" s="46"/>
      <c r="F32" s="46"/>
      <c r="G32" s="46"/>
      <c r="H32" s="46"/>
      <c r="I32" s="46"/>
    </row>
    <row r="33" spans="1:14" s="16" customFormat="1" ht="18">
      <c r="A33" s="72">
        <v>34331</v>
      </c>
      <c r="B33" s="14" t="s">
        <v>104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s="16" customFormat="1" ht="18">
      <c r="A34" s="72"/>
      <c r="B34" s="14" t="s">
        <v>138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s="16" customFormat="1" ht="18">
      <c r="A35" s="7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9" s="16" customFormat="1" ht="18">
      <c r="A36" s="53">
        <v>61000</v>
      </c>
      <c r="B36" s="16" t="s">
        <v>90</v>
      </c>
      <c r="C36" s="19"/>
      <c r="D36" s="19"/>
      <c r="E36" s="19"/>
      <c r="F36" s="19"/>
      <c r="G36" s="19"/>
      <c r="H36" s="19"/>
      <c r="I36" s="19"/>
    </row>
    <row r="37" spans="1:2" s="16" customFormat="1" ht="18">
      <c r="A37" s="53"/>
      <c r="B37" s="57" t="s">
        <v>89</v>
      </c>
    </row>
    <row r="38" spans="1:2" s="16" customFormat="1" ht="18">
      <c r="A38" s="53"/>
      <c r="B38" s="57"/>
    </row>
    <row r="39" spans="1:10" s="16" customFormat="1" ht="18">
      <c r="A39" s="53"/>
      <c r="B39" s="57"/>
      <c r="C39" s="19"/>
      <c r="D39" s="19"/>
      <c r="E39" s="19"/>
      <c r="F39" s="19"/>
      <c r="G39" s="19"/>
      <c r="H39" s="19"/>
      <c r="I39" s="19"/>
      <c r="J39" s="74"/>
    </row>
    <row r="40" spans="1:9" s="32" customFormat="1" ht="15">
      <c r="A40" s="31"/>
      <c r="C40" s="33"/>
      <c r="D40" s="33"/>
      <c r="E40" s="33"/>
      <c r="F40" s="33"/>
      <c r="G40" s="33"/>
      <c r="H40" s="33"/>
      <c r="I40" s="33"/>
    </row>
    <row r="41" spans="1:9" s="32" customFormat="1" ht="15">
      <c r="A41" s="31"/>
      <c r="C41" s="33"/>
      <c r="D41" s="33"/>
      <c r="E41" s="33"/>
      <c r="F41" s="33"/>
      <c r="G41" s="33"/>
      <c r="H41" s="33"/>
      <c r="I41" s="33"/>
    </row>
    <row r="42" spans="1:9" s="32" customFormat="1" ht="15">
      <c r="A42" s="31"/>
      <c r="B42" s="39"/>
      <c r="C42" s="33"/>
      <c r="D42" s="30"/>
      <c r="E42" s="30"/>
      <c r="F42" s="30"/>
      <c r="G42" s="30"/>
      <c r="H42" s="30"/>
      <c r="I42" s="30"/>
    </row>
    <row r="43" spans="1:9" s="32" customFormat="1" ht="15">
      <c r="A43" s="31"/>
      <c r="C43" s="33"/>
      <c r="D43" s="33"/>
      <c r="E43" s="33"/>
      <c r="F43" s="33"/>
      <c r="G43" s="33"/>
      <c r="H43" s="33"/>
      <c r="I43" s="33"/>
    </row>
    <row r="44" spans="1:9" s="32" customFormat="1" ht="15">
      <c r="A44" s="31"/>
      <c r="C44" s="33"/>
      <c r="D44" s="33"/>
      <c r="E44" s="33"/>
      <c r="F44" s="33"/>
      <c r="G44" s="33"/>
      <c r="H44" s="33"/>
      <c r="I44" s="33"/>
    </row>
    <row r="45" s="32" customFormat="1" ht="15">
      <c r="A45" s="31"/>
    </row>
    <row r="46" s="32" customFormat="1" ht="15">
      <c r="A46" s="31"/>
    </row>
    <row r="47" spans="1:9" s="32" customFormat="1" ht="15">
      <c r="A47" s="31"/>
      <c r="C47" s="42"/>
      <c r="D47" s="42"/>
      <c r="E47" s="42"/>
      <c r="F47" s="42"/>
      <c r="G47" s="42"/>
      <c r="H47" s="42"/>
      <c r="I47" s="42"/>
    </row>
    <row r="48" spans="1:9" s="32" customFormat="1" ht="15">
      <c r="A48" s="31"/>
      <c r="C48" s="33"/>
      <c r="D48" s="33"/>
      <c r="E48" s="33"/>
      <c r="F48" s="33"/>
      <c r="G48" s="33"/>
      <c r="H48" s="33"/>
      <c r="I48" s="33"/>
    </row>
    <row r="49" spans="1:9" s="32" customFormat="1" ht="15">
      <c r="A49" s="31"/>
      <c r="C49" s="33"/>
      <c r="D49" s="33"/>
      <c r="E49" s="33"/>
      <c r="F49" s="33"/>
      <c r="G49" s="33"/>
      <c r="H49" s="33"/>
      <c r="I49" s="33"/>
    </row>
    <row r="50" spans="1:9" s="32" customFormat="1" ht="15">
      <c r="A50" s="31"/>
      <c r="C50" s="33"/>
      <c r="D50" s="33"/>
      <c r="E50" s="33"/>
      <c r="F50" s="33"/>
      <c r="G50" s="33"/>
      <c r="H50" s="33"/>
      <c r="I50" s="33"/>
    </row>
    <row r="51" spans="1:9" s="32" customFormat="1" ht="15">
      <c r="A51" s="31"/>
      <c r="C51" s="33"/>
      <c r="D51" s="33"/>
      <c r="E51" s="33"/>
      <c r="F51" s="33"/>
      <c r="G51" s="33"/>
      <c r="H51" s="33"/>
      <c r="I51" s="33"/>
    </row>
    <row r="52" spans="1:9" s="32" customFormat="1" ht="15">
      <c r="A52" s="31"/>
      <c r="C52" s="33"/>
      <c r="D52" s="33"/>
      <c r="E52" s="33"/>
      <c r="F52" s="33"/>
      <c r="G52" s="33"/>
      <c r="H52" s="33"/>
      <c r="I52" s="33"/>
    </row>
    <row r="53" spans="1:9" s="32" customFormat="1" ht="15">
      <c r="A53" s="31"/>
      <c r="B53" s="34"/>
      <c r="C53" s="33"/>
      <c r="D53" s="33"/>
      <c r="E53" s="33"/>
      <c r="F53" s="33"/>
      <c r="G53" s="33"/>
      <c r="H53" s="33"/>
      <c r="I53" s="33"/>
    </row>
    <row r="54" spans="1:9" s="32" customFormat="1" ht="15">
      <c r="A54" s="31"/>
      <c r="C54" s="33"/>
      <c r="D54" s="33"/>
      <c r="E54" s="33"/>
      <c r="F54" s="33"/>
      <c r="G54" s="33"/>
      <c r="H54" s="33"/>
      <c r="I54" s="33"/>
    </row>
    <row r="55" spans="1:9" s="32" customFormat="1" ht="15">
      <c r="A55" s="31"/>
      <c r="C55" s="33"/>
      <c r="D55" s="33"/>
      <c r="E55" s="33"/>
      <c r="F55" s="33"/>
      <c r="G55" s="33"/>
      <c r="H55" s="33"/>
      <c r="I55" s="33"/>
    </row>
    <row r="56" spans="1:9" s="32" customFormat="1" ht="15">
      <c r="A56" s="31"/>
      <c r="C56" s="33"/>
      <c r="D56" s="33"/>
      <c r="E56" s="33"/>
      <c r="F56" s="33"/>
      <c r="G56" s="33"/>
      <c r="H56" s="33"/>
      <c r="I56" s="33"/>
    </row>
    <row r="57" spans="1:9" s="32" customFormat="1" ht="15">
      <c r="A57" s="31"/>
      <c r="C57" s="33"/>
      <c r="D57" s="33"/>
      <c r="E57" s="33"/>
      <c r="F57" s="33"/>
      <c r="G57" s="33"/>
      <c r="H57" s="33"/>
      <c r="I57" s="33"/>
    </row>
    <row r="58" spans="1:9" s="32" customFormat="1" ht="15">
      <c r="A58" s="31"/>
      <c r="C58" s="33"/>
      <c r="D58" s="33"/>
      <c r="E58" s="33"/>
      <c r="F58" s="33"/>
      <c r="G58" s="33"/>
      <c r="H58" s="33"/>
      <c r="I58" s="33"/>
    </row>
    <row r="59" spans="1:9" s="32" customFormat="1" ht="15">
      <c r="A59" s="31"/>
      <c r="C59" s="33"/>
      <c r="D59" s="33"/>
      <c r="E59" s="33"/>
      <c r="F59" s="33"/>
      <c r="G59" s="33"/>
      <c r="H59" s="33"/>
      <c r="I59" s="33"/>
    </row>
    <row r="60" spans="1:9" s="32" customFormat="1" ht="15">
      <c r="A60" s="31"/>
      <c r="D60" s="30"/>
      <c r="E60" s="30"/>
      <c r="F60" s="30"/>
      <c r="G60" s="30"/>
      <c r="H60" s="30"/>
      <c r="I60" s="30"/>
    </row>
    <row r="61" s="32" customFormat="1" ht="15">
      <c r="A61" s="31"/>
    </row>
    <row r="62" s="32" customFormat="1" ht="15">
      <c r="A62" s="31"/>
    </row>
    <row r="63" spans="1:9" s="32" customFormat="1" ht="18">
      <c r="A63" s="31"/>
      <c r="B63" s="17"/>
      <c r="C63" s="35"/>
      <c r="D63" s="35"/>
      <c r="E63" s="35"/>
      <c r="F63" s="35"/>
      <c r="G63" s="35"/>
      <c r="H63" s="35"/>
      <c r="I63" s="35"/>
    </row>
    <row r="64" s="32" customFormat="1" ht="15">
      <c r="A64" s="31"/>
    </row>
    <row r="65" spans="1:2" s="32" customFormat="1" ht="15">
      <c r="A65" s="31"/>
      <c r="B65" s="36"/>
    </row>
    <row r="66" s="32" customFormat="1" ht="15">
      <c r="A66" s="31"/>
    </row>
    <row r="67" s="32" customFormat="1" ht="15">
      <c r="A67" s="31"/>
    </row>
    <row r="68" s="32" customFormat="1" ht="15">
      <c r="A68" s="31"/>
    </row>
    <row r="69" s="32" customFormat="1" ht="15">
      <c r="A69" s="31"/>
    </row>
    <row r="70" spans="1:9" s="32" customFormat="1" ht="15">
      <c r="A70" s="31"/>
      <c r="C70" s="33"/>
      <c r="D70" s="33"/>
      <c r="E70" s="33"/>
      <c r="F70" s="33"/>
      <c r="G70" s="33"/>
      <c r="H70" s="33"/>
      <c r="I70" s="33"/>
    </row>
    <row r="71" spans="1:9" s="32" customFormat="1" ht="15">
      <c r="A71" s="31"/>
      <c r="C71" s="30"/>
      <c r="D71" s="33"/>
      <c r="E71" s="33"/>
      <c r="F71" s="33"/>
      <c r="G71" s="33"/>
      <c r="H71" s="33"/>
      <c r="I71" s="33"/>
    </row>
    <row r="72" spans="1:9" s="32" customFormat="1" ht="18">
      <c r="A72" s="31"/>
      <c r="B72" s="17"/>
      <c r="C72" s="35"/>
      <c r="D72" s="35"/>
      <c r="E72" s="35"/>
      <c r="F72" s="35"/>
      <c r="G72" s="35"/>
      <c r="H72" s="35"/>
      <c r="I72" s="35"/>
    </row>
    <row r="73" spans="1:2" s="32" customFormat="1" ht="15">
      <c r="A73" s="31"/>
      <c r="B73" s="36"/>
    </row>
    <row r="74" spans="1:3" s="32" customFormat="1" ht="15">
      <c r="A74" s="31"/>
      <c r="C74" s="33"/>
    </row>
    <row r="75" spans="1:3" s="32" customFormat="1" ht="15">
      <c r="A75" s="31"/>
      <c r="C75" s="33"/>
    </row>
    <row r="76" spans="1:3" s="32" customFormat="1" ht="15">
      <c r="A76" s="31"/>
      <c r="C76" s="33"/>
    </row>
    <row r="77" spans="1:3" s="32" customFormat="1" ht="15">
      <c r="A77" s="31"/>
      <c r="C77" s="33"/>
    </row>
    <row r="78" spans="1:3" s="32" customFormat="1" ht="15">
      <c r="A78" s="31"/>
      <c r="C78" s="33"/>
    </row>
    <row r="79" spans="1:3" s="32" customFormat="1" ht="15">
      <c r="A79" s="31"/>
      <c r="C79" s="33"/>
    </row>
    <row r="80" spans="1:3" s="32" customFormat="1" ht="15">
      <c r="A80" s="31"/>
      <c r="C80" s="33"/>
    </row>
    <row r="81" spans="1:3" s="32" customFormat="1" ht="15">
      <c r="A81" s="31"/>
      <c r="C81" s="30"/>
    </row>
    <row r="85" spans="2:9" ht="15">
      <c r="B85" s="32"/>
      <c r="C85" s="32"/>
      <c r="D85" s="32"/>
      <c r="E85" s="32"/>
      <c r="F85" s="32"/>
      <c r="G85" s="32"/>
      <c r="H85" s="32"/>
      <c r="I85" s="32"/>
    </row>
    <row r="86" spans="2:9" ht="15">
      <c r="B86" s="37"/>
      <c r="C86" s="36"/>
      <c r="D86" s="36"/>
      <c r="E86" s="36"/>
      <c r="F86" s="36"/>
      <c r="G86" s="36"/>
      <c r="H86" s="36"/>
      <c r="I86" s="36"/>
    </row>
    <row r="87" spans="2:9" ht="15">
      <c r="B87" s="32"/>
      <c r="C87" s="32"/>
      <c r="D87" s="32"/>
      <c r="E87" s="32"/>
      <c r="F87" s="32"/>
      <c r="G87" s="32"/>
      <c r="H87" s="32"/>
      <c r="I87" s="32"/>
    </row>
    <row r="88" spans="2:9" ht="15">
      <c r="B88" s="36"/>
      <c r="C88" s="33"/>
      <c r="D88" s="33"/>
      <c r="E88" s="33"/>
      <c r="F88" s="33"/>
      <c r="G88" s="33"/>
      <c r="H88" s="33"/>
      <c r="I88" s="33"/>
    </row>
    <row r="89" spans="2:9" ht="15">
      <c r="B89" s="32"/>
      <c r="C89" s="38"/>
      <c r="D89" s="38"/>
      <c r="E89" s="38"/>
      <c r="F89" s="38"/>
      <c r="G89" s="38"/>
      <c r="H89" s="38"/>
      <c r="I89" s="38"/>
    </row>
    <row r="90" spans="2:9" ht="15">
      <c r="B90" s="32"/>
      <c r="C90" s="33"/>
      <c r="D90" s="32"/>
      <c r="E90" s="32"/>
      <c r="F90" s="32"/>
      <c r="G90" s="32"/>
      <c r="H90" s="32"/>
      <c r="I90" s="32"/>
    </row>
    <row r="91" spans="2:9" ht="15">
      <c r="B91" s="32"/>
      <c r="C91" s="33"/>
      <c r="D91" s="32"/>
      <c r="E91" s="32"/>
      <c r="F91" s="32"/>
      <c r="G91" s="32"/>
      <c r="H91" s="32"/>
      <c r="I91" s="32"/>
    </row>
    <row r="92" spans="2:9" ht="15">
      <c r="B92" s="37"/>
      <c r="C92" s="36"/>
      <c r="D92" s="36"/>
      <c r="E92" s="36"/>
      <c r="F92" s="36"/>
      <c r="G92" s="36"/>
      <c r="H92" s="36"/>
      <c r="I92" s="36"/>
    </row>
    <row r="93" spans="2:9" ht="15">
      <c r="B93" s="32"/>
      <c r="C93" s="32"/>
      <c r="D93" s="32"/>
      <c r="E93" s="32"/>
      <c r="F93" s="32"/>
      <c r="G93" s="32"/>
      <c r="H93" s="32"/>
      <c r="I93" s="32"/>
    </row>
    <row r="94" spans="2:9" ht="15">
      <c r="B94" s="26"/>
      <c r="C94" s="36"/>
      <c r="D94" s="36"/>
      <c r="E94" s="36"/>
      <c r="F94" s="36"/>
      <c r="G94" s="36"/>
      <c r="H94" s="36"/>
      <c r="I94" s="36"/>
    </row>
    <row r="96" spans="3:9" ht="15">
      <c r="C96" s="41"/>
      <c r="D96" s="41"/>
      <c r="E96" s="41"/>
      <c r="F96" s="41"/>
      <c r="G96" s="41"/>
      <c r="H96" s="41"/>
      <c r="I96" s="41"/>
    </row>
  </sheetData>
  <sheetProtection/>
  <printOptions/>
  <pageMargins left="0.75" right="0.75" top="1" bottom="1" header="0.5" footer="0.5"/>
  <pageSetup horizontalDpi="600" verticalDpi="600" orientation="portrait" paperSize="9" scale="59" r:id="rId1"/>
  <headerFooter alignWithMargins="0">
    <oddFooter>&amp;LBegroting IGSD apparaatskosten 2015 - 2018&amp;R40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O89"/>
  <sheetViews>
    <sheetView zoomScale="75" zoomScaleNormal="75" zoomScalePageLayoutView="0" workbookViewId="0" topLeftCell="A1">
      <selection activeCell="J10" sqref="J10"/>
    </sheetView>
  </sheetViews>
  <sheetFormatPr defaultColWidth="9.140625" defaultRowHeight="12.75"/>
  <cols>
    <col min="1" max="1" width="10.140625" style="10" bestFit="1" customWidth="1"/>
    <col min="2" max="2" width="55.140625" style="1" customWidth="1"/>
    <col min="3" max="4" width="14.28125" style="1" hidden="1" customWidth="1"/>
    <col min="5" max="5" width="16.421875" style="1" hidden="1" customWidth="1"/>
    <col min="6" max="6" width="14.28125" style="1" hidden="1" customWidth="1"/>
    <col min="7" max="7" width="14.8515625" style="1" hidden="1" customWidth="1"/>
    <col min="8" max="8" width="11.28125" style="1" hidden="1" customWidth="1"/>
    <col min="9" max="9" width="1.1484375" style="1" hidden="1" customWidth="1"/>
    <col min="10" max="10" width="12.00390625" style="1" customWidth="1"/>
    <col min="11" max="15" width="11.28125" style="1" bestFit="1" customWidth="1"/>
    <col min="16" max="16384" width="9.140625" style="1" customWidth="1"/>
  </cols>
  <sheetData>
    <row r="4" ht="22.5">
      <c r="B4" s="93" t="s">
        <v>129</v>
      </c>
    </row>
    <row r="5" ht="25.5">
      <c r="B5" s="29"/>
    </row>
    <row r="6" spans="1:11" s="27" customFormat="1" ht="61.5" customHeight="1">
      <c r="A6" s="25"/>
      <c r="I6" s="97" t="s">
        <v>116</v>
      </c>
      <c r="J6" s="97" t="s">
        <v>116</v>
      </c>
      <c r="K6" s="97" t="s">
        <v>117</v>
      </c>
    </row>
    <row r="7" spans="1:15" s="14" customFormat="1" ht="18">
      <c r="A7" s="12"/>
      <c r="B7" s="13" t="s">
        <v>14</v>
      </c>
      <c r="C7" s="43">
        <v>2006</v>
      </c>
      <c r="D7" s="43">
        <v>2007</v>
      </c>
      <c r="E7" s="43">
        <v>2008</v>
      </c>
      <c r="F7" s="43">
        <f>+E7+1</f>
        <v>2009</v>
      </c>
      <c r="G7" s="43">
        <f>+F7+1</f>
        <v>2010</v>
      </c>
      <c r="H7" s="43">
        <v>2012</v>
      </c>
      <c r="I7" s="43">
        <v>2011</v>
      </c>
      <c r="J7" s="43">
        <v>2013</v>
      </c>
      <c r="K7" s="43">
        <v>2014</v>
      </c>
      <c r="L7" s="43">
        <f>+K7+1</f>
        <v>2015</v>
      </c>
      <c r="M7" s="43">
        <f>+L7+1</f>
        <v>2016</v>
      </c>
      <c r="N7" s="43">
        <f>+M7+1</f>
        <v>2017</v>
      </c>
      <c r="O7" s="43">
        <f>+N7+1</f>
        <v>2018</v>
      </c>
    </row>
    <row r="8" spans="1:15" s="14" customFormat="1" ht="18">
      <c r="A8" s="12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s="14" customFormat="1" ht="18">
      <c r="A9" s="44" t="s">
        <v>28</v>
      </c>
      <c r="B9" s="45" t="s">
        <v>16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0" s="14" customFormat="1" ht="18">
      <c r="A10" s="47">
        <v>33300</v>
      </c>
      <c r="B10" s="14" t="s">
        <v>133</v>
      </c>
      <c r="J10" s="14">
        <v>19813</v>
      </c>
    </row>
    <row r="11" spans="1:15" s="14" customFormat="1" ht="18">
      <c r="A11" s="47">
        <v>34304</v>
      </c>
      <c r="B11" s="14" t="s">
        <v>68</v>
      </c>
      <c r="I11" s="14">
        <v>4378.28</v>
      </c>
      <c r="J11" s="14">
        <v>4934</v>
      </c>
      <c r="K11" s="14">
        <v>5000</v>
      </c>
      <c r="L11" s="14">
        <v>4000</v>
      </c>
      <c r="M11" s="48">
        <f aca="true" t="shared" si="0" ref="M11:O12">+L11</f>
        <v>4000</v>
      </c>
      <c r="N11" s="48">
        <f t="shared" si="0"/>
        <v>4000</v>
      </c>
      <c r="O11" s="48">
        <f t="shared" si="0"/>
        <v>4000</v>
      </c>
    </row>
    <row r="12" spans="1:15" s="14" customFormat="1" ht="18">
      <c r="A12" s="47" t="s">
        <v>30</v>
      </c>
      <c r="B12" s="14" t="s">
        <v>87</v>
      </c>
      <c r="C12" s="14">
        <v>4000</v>
      </c>
      <c r="D12" s="14">
        <v>4000</v>
      </c>
      <c r="E12" s="14">
        <f>+D12*1.0575</f>
        <v>4230</v>
      </c>
      <c r="F12" s="14">
        <f>+E12</f>
        <v>4230</v>
      </c>
      <c r="G12" s="14">
        <f>+F12</f>
        <v>4230</v>
      </c>
      <c r="H12" s="14">
        <v>7000</v>
      </c>
      <c r="I12" s="14">
        <v>21050</v>
      </c>
      <c r="J12" s="14">
        <v>18860</v>
      </c>
      <c r="K12" s="48">
        <v>9000</v>
      </c>
      <c r="L12" s="48"/>
      <c r="M12" s="48">
        <f t="shared" si="0"/>
        <v>0</v>
      </c>
      <c r="N12" s="48">
        <f t="shared" si="0"/>
        <v>0</v>
      </c>
      <c r="O12" s="48">
        <f t="shared" si="0"/>
        <v>0</v>
      </c>
    </row>
    <row r="13" spans="1:15" s="14" customFormat="1" ht="18">
      <c r="A13" s="12"/>
      <c r="B13" s="14" t="s">
        <v>101</v>
      </c>
      <c r="F13" s="48">
        <v>7500</v>
      </c>
      <c r="G13" s="14">
        <f>+F13</f>
        <v>7500</v>
      </c>
      <c r="H13" s="14">
        <v>14000</v>
      </c>
      <c r="K13" s="48">
        <v>13500</v>
      </c>
      <c r="L13" s="48"/>
      <c r="M13" s="48">
        <f aca="true" t="shared" si="1" ref="L13:M21">+L13</f>
        <v>0</v>
      </c>
      <c r="N13" s="48">
        <f aca="true" t="shared" si="2" ref="N13:O21">+M13</f>
        <v>0</v>
      </c>
      <c r="O13" s="48">
        <f t="shared" si="2"/>
        <v>0</v>
      </c>
    </row>
    <row r="14" spans="1:15" s="14" customFormat="1" ht="18">
      <c r="A14" s="47" t="s">
        <v>31</v>
      </c>
      <c r="B14" s="14" t="s">
        <v>9</v>
      </c>
      <c r="C14" s="46">
        <v>18000</v>
      </c>
      <c r="D14" s="46">
        <v>18000</v>
      </c>
      <c r="E14" s="14">
        <f aca="true" t="shared" si="3" ref="E14:E19">+D14*1.0575</f>
        <v>19035.000000000004</v>
      </c>
      <c r="F14" s="48">
        <v>40000</v>
      </c>
      <c r="G14" s="14">
        <f>+F14</f>
        <v>40000</v>
      </c>
      <c r="H14" s="48">
        <f>60000-7000</f>
        <v>53000</v>
      </c>
      <c r="I14" s="48">
        <v>59380.36</v>
      </c>
      <c r="J14" s="48">
        <v>64249</v>
      </c>
      <c r="K14" s="48">
        <v>60000</v>
      </c>
      <c r="L14" s="48">
        <v>60000</v>
      </c>
      <c r="M14" s="48">
        <f t="shared" si="1"/>
        <v>60000</v>
      </c>
      <c r="N14" s="48">
        <f t="shared" si="2"/>
        <v>60000</v>
      </c>
      <c r="O14" s="48">
        <f t="shared" si="2"/>
        <v>60000</v>
      </c>
    </row>
    <row r="15" spans="1:15" s="14" customFormat="1" ht="18">
      <c r="A15" s="47" t="s">
        <v>32</v>
      </c>
      <c r="B15" s="14" t="s">
        <v>10</v>
      </c>
      <c r="C15" s="46">
        <f>12000*1.25</f>
        <v>15000</v>
      </c>
      <c r="D15" s="46">
        <f>12000*1.25</f>
        <v>15000</v>
      </c>
      <c r="E15" s="14">
        <f>20000*1.0575</f>
        <v>21150.000000000004</v>
      </c>
      <c r="F15" s="48">
        <f>+E15</f>
        <v>21150.000000000004</v>
      </c>
      <c r="G15" s="14">
        <v>30000</v>
      </c>
      <c r="H15" s="14">
        <f>+G15</f>
        <v>30000</v>
      </c>
      <c r="I15" s="14">
        <v>27467.48</v>
      </c>
      <c r="J15" s="14">
        <v>25310</v>
      </c>
      <c r="K15" s="48">
        <v>25000</v>
      </c>
      <c r="L15" s="48">
        <v>25000</v>
      </c>
      <c r="M15" s="48">
        <f t="shared" si="1"/>
        <v>25000</v>
      </c>
      <c r="N15" s="48">
        <f t="shared" si="2"/>
        <v>25000</v>
      </c>
      <c r="O15" s="48">
        <f t="shared" si="2"/>
        <v>25000</v>
      </c>
    </row>
    <row r="16" spans="1:15" s="14" customFormat="1" ht="18">
      <c r="A16" s="47" t="s">
        <v>33</v>
      </c>
      <c r="B16" s="14" t="s">
        <v>11</v>
      </c>
      <c r="C16" s="49">
        <v>10000</v>
      </c>
      <c r="D16" s="46">
        <v>10000</v>
      </c>
      <c r="E16" s="14">
        <f t="shared" si="3"/>
        <v>10575.000000000002</v>
      </c>
      <c r="F16" s="48">
        <v>50000</v>
      </c>
      <c r="G16" s="14">
        <f>+F16</f>
        <v>50000</v>
      </c>
      <c r="H16" s="14">
        <v>20000</v>
      </c>
      <c r="I16" s="14">
        <v>11010.07</v>
      </c>
      <c r="J16" s="14">
        <v>12238</v>
      </c>
      <c r="K16" s="48">
        <v>11000</v>
      </c>
      <c r="L16" s="48">
        <v>13000</v>
      </c>
      <c r="M16" s="48">
        <f t="shared" si="1"/>
        <v>13000</v>
      </c>
      <c r="N16" s="48">
        <f t="shared" si="2"/>
        <v>13000</v>
      </c>
      <c r="O16" s="48">
        <f t="shared" si="2"/>
        <v>13000</v>
      </c>
    </row>
    <row r="17" spans="1:15" s="14" customFormat="1" ht="18">
      <c r="A17" s="47" t="s">
        <v>34</v>
      </c>
      <c r="B17" s="14" t="s">
        <v>12</v>
      </c>
      <c r="C17" s="49">
        <v>11000</v>
      </c>
      <c r="D17" s="46">
        <v>11000</v>
      </c>
      <c r="E17" s="14">
        <f t="shared" si="3"/>
        <v>11632.500000000002</v>
      </c>
      <c r="F17" s="14">
        <v>15000</v>
      </c>
      <c r="G17" s="14">
        <v>25000</v>
      </c>
      <c r="H17" s="14">
        <v>35000</v>
      </c>
      <c r="I17" s="14">
        <v>19355.26</v>
      </c>
      <c r="J17" s="14">
        <v>12787</v>
      </c>
      <c r="K17" s="48">
        <v>15000</v>
      </c>
      <c r="L17" s="48">
        <v>15000</v>
      </c>
      <c r="M17" s="48">
        <f t="shared" si="1"/>
        <v>15000</v>
      </c>
      <c r="N17" s="48">
        <f t="shared" si="2"/>
        <v>15000</v>
      </c>
      <c r="O17" s="48">
        <f t="shared" si="2"/>
        <v>15000</v>
      </c>
    </row>
    <row r="18" spans="1:15" s="14" customFormat="1" ht="18">
      <c r="A18" s="47" t="s">
        <v>35</v>
      </c>
      <c r="B18" s="14" t="s">
        <v>13</v>
      </c>
      <c r="C18" s="49">
        <v>13000</v>
      </c>
      <c r="D18" s="46">
        <v>13000</v>
      </c>
      <c r="E18" s="14">
        <f t="shared" si="3"/>
        <v>13747.500000000002</v>
      </c>
      <c r="F18" s="14">
        <v>15000</v>
      </c>
      <c r="G18" s="14">
        <f>+F18</f>
        <v>15000</v>
      </c>
      <c r="H18" s="14">
        <v>20000</v>
      </c>
      <c r="I18" s="14">
        <v>10800.61</v>
      </c>
      <c r="J18" s="14">
        <v>12311</v>
      </c>
      <c r="K18" s="48">
        <v>12000</v>
      </c>
      <c r="L18" s="48">
        <f t="shared" si="1"/>
        <v>12000</v>
      </c>
      <c r="M18" s="48">
        <f t="shared" si="1"/>
        <v>12000</v>
      </c>
      <c r="N18" s="48">
        <f t="shared" si="2"/>
        <v>12000</v>
      </c>
      <c r="O18" s="48">
        <f t="shared" si="2"/>
        <v>12000</v>
      </c>
    </row>
    <row r="19" spans="1:15" s="14" customFormat="1" ht="18">
      <c r="A19" s="65" t="s">
        <v>36</v>
      </c>
      <c r="B19" s="52" t="s">
        <v>81</v>
      </c>
      <c r="C19" s="66">
        <v>30000</v>
      </c>
      <c r="D19" s="66">
        <v>20000</v>
      </c>
      <c r="E19" s="67">
        <f t="shared" si="3"/>
        <v>21150.000000000004</v>
      </c>
      <c r="F19" s="67">
        <v>20000</v>
      </c>
      <c r="G19" s="67">
        <f>+F19</f>
        <v>20000</v>
      </c>
      <c r="H19" s="95">
        <v>20000</v>
      </c>
      <c r="I19" s="95">
        <v>26579.49</v>
      </c>
      <c r="J19" s="95">
        <v>5334</v>
      </c>
      <c r="K19" s="95">
        <f>+H19</f>
        <v>20000</v>
      </c>
      <c r="L19" s="48">
        <v>15000</v>
      </c>
      <c r="M19" s="48">
        <f t="shared" si="1"/>
        <v>15000</v>
      </c>
      <c r="N19" s="48">
        <f t="shared" si="2"/>
        <v>15000</v>
      </c>
      <c r="O19" s="48">
        <f t="shared" si="2"/>
        <v>15000</v>
      </c>
    </row>
    <row r="20" spans="1:15" s="14" customFormat="1" ht="18">
      <c r="A20" s="65">
        <v>34372</v>
      </c>
      <c r="B20" s="52" t="s">
        <v>134</v>
      </c>
      <c r="C20" s="66"/>
      <c r="D20" s="66"/>
      <c r="E20" s="67"/>
      <c r="F20" s="67"/>
      <c r="G20" s="67"/>
      <c r="H20" s="95"/>
      <c r="I20" s="95"/>
      <c r="J20" s="95">
        <v>130</v>
      </c>
      <c r="K20" s="95"/>
      <c r="L20" s="48"/>
      <c r="M20" s="48"/>
      <c r="N20" s="48"/>
      <c r="O20" s="48"/>
    </row>
    <row r="21" spans="1:15" s="14" customFormat="1" ht="18">
      <c r="A21" s="65">
        <v>34375</v>
      </c>
      <c r="B21" s="52" t="s">
        <v>88</v>
      </c>
      <c r="C21" s="66"/>
      <c r="D21" s="66"/>
      <c r="E21" s="67"/>
      <c r="F21" s="67"/>
      <c r="G21" s="67"/>
      <c r="H21" s="67">
        <v>20000</v>
      </c>
      <c r="I21" s="67">
        <v>7106.3</v>
      </c>
      <c r="J21" s="67">
        <v>17075</v>
      </c>
      <c r="K21" s="95">
        <v>15000</v>
      </c>
      <c r="L21" s="48">
        <v>20000</v>
      </c>
      <c r="M21" s="48">
        <f t="shared" si="1"/>
        <v>20000</v>
      </c>
      <c r="N21" s="48">
        <f t="shared" si="2"/>
        <v>20000</v>
      </c>
      <c r="O21" s="48">
        <f t="shared" si="2"/>
        <v>20000</v>
      </c>
    </row>
    <row r="22" spans="1:15" s="14" customFormat="1" ht="18.75" thickBot="1">
      <c r="A22" s="47"/>
      <c r="C22" s="68">
        <f>SUM(C12:C19)</f>
        <v>101000</v>
      </c>
      <c r="D22" s="68">
        <f>SUM(D12:D19)</f>
        <v>91000</v>
      </c>
      <c r="E22" s="69">
        <f>SUM(E12:E19)</f>
        <v>101520.00000000001</v>
      </c>
      <c r="F22" s="69">
        <f>SUM(F12:F19)</f>
        <v>172880</v>
      </c>
      <c r="G22" s="69">
        <f>SUM(G12:G19)</f>
        <v>191730</v>
      </c>
      <c r="H22" s="69">
        <f>SUM(H12:H21)</f>
        <v>219000</v>
      </c>
      <c r="I22" s="69">
        <f>SUM(I11:I21)</f>
        <v>187127.84999999998</v>
      </c>
      <c r="J22" s="69">
        <f aca="true" t="shared" si="4" ref="J22:O22">SUM(J10:J21)</f>
        <v>193041</v>
      </c>
      <c r="K22" s="69">
        <f t="shared" si="4"/>
        <v>185500</v>
      </c>
      <c r="L22" s="69">
        <f t="shared" si="4"/>
        <v>164000</v>
      </c>
      <c r="M22" s="69">
        <f t="shared" si="4"/>
        <v>164000</v>
      </c>
      <c r="N22" s="69">
        <f t="shared" si="4"/>
        <v>164000</v>
      </c>
      <c r="O22" s="69">
        <f t="shared" si="4"/>
        <v>164000</v>
      </c>
    </row>
    <row r="23" spans="1:7" s="16" customFormat="1" ht="20.25" thickTop="1">
      <c r="A23" s="53"/>
      <c r="B23" s="60"/>
      <c r="C23" s="19"/>
      <c r="D23" s="19"/>
      <c r="E23" s="19"/>
      <c r="F23" s="19"/>
      <c r="G23" s="19"/>
    </row>
    <row r="24" spans="1:15" s="16" customFormat="1" ht="18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7" s="16" customFormat="1" ht="18">
      <c r="A25" s="53"/>
      <c r="B25" s="16" t="s">
        <v>49</v>
      </c>
      <c r="C25" s="19"/>
      <c r="D25" s="19"/>
      <c r="E25" s="19"/>
      <c r="F25" s="19"/>
      <c r="G25" s="19"/>
    </row>
    <row r="26" spans="1:7" s="16" customFormat="1" ht="18">
      <c r="A26" s="72" t="s">
        <v>31</v>
      </c>
      <c r="B26" s="14" t="s">
        <v>58</v>
      </c>
      <c r="C26" s="19"/>
      <c r="D26" s="19"/>
      <c r="E26" s="19"/>
      <c r="F26" s="19"/>
      <c r="G26" s="19"/>
    </row>
    <row r="27" spans="1:7" s="7" customFormat="1" ht="18">
      <c r="A27" s="11"/>
      <c r="B27" s="14" t="s">
        <v>107</v>
      </c>
      <c r="C27" s="3"/>
      <c r="D27" s="3"/>
      <c r="E27" s="3"/>
      <c r="F27" s="3"/>
      <c r="G27" s="3"/>
    </row>
    <row r="28" spans="1:15" s="7" customFormat="1" ht="18">
      <c r="A28" s="14">
        <v>34351</v>
      </c>
      <c r="B28" s="14" t="s">
        <v>152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7" customFormat="1" ht="18">
      <c r="A29" s="14"/>
      <c r="B29" s="14" t="s">
        <v>154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7" customFormat="1" ht="18">
      <c r="A30" s="14"/>
      <c r="B30" s="14" t="s">
        <v>153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7" customFormat="1" ht="18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7" customFormat="1" ht="18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s="7" customFormat="1" ht="18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s="7" customFormat="1" ht="18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s="7" customFormat="1" ht="18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s="7" customFormat="1" ht="18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s="7" customFormat="1" ht="18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s="7" customFormat="1" ht="1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s="7" customFormat="1" ht="18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s="7" customFormat="1" ht="18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7" customFormat="1" ht="1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7" customFormat="1" ht="18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7" customFormat="1" ht="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s="7" customFormat="1" ht="18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7" customFormat="1" ht="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s="7" customFormat="1" ht="18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s="7" customFormat="1" ht="18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s="7" customFormat="1" ht="1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s="7" customFormat="1" ht="18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s="7" customFormat="1" ht="18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s="7" customFormat="1" ht="18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s="7" customFormat="1" ht="18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s="7" customFormat="1" ht="18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s="7" customFormat="1" ht="18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s="7" customFormat="1" ht="18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s="7" customFormat="1" ht="18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s="7" customFormat="1" ht="18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s="7" customFormat="1" ht="1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s="7" customFormat="1" ht="18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s="7" customFormat="1" ht="18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s="7" customFormat="1" ht="18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s="7" customFormat="1" ht="18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s="7" customFormat="1" ht="18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s="7" customFormat="1" ht="18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s="7" customFormat="1" ht="18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s="7" customFormat="1" ht="18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s="7" customFormat="1" ht="18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s="7" customFormat="1" ht="1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s="7" customFormat="1" ht="18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s="7" customFormat="1" ht="18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s="7" customFormat="1" ht="18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s="7" customFormat="1" ht="18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s="7" customFormat="1" ht="18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s="7" customFormat="1" ht="18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="7" customFormat="1" ht="12.75">
      <c r="A75" s="11"/>
    </row>
    <row r="76" s="7" customFormat="1" ht="12.75">
      <c r="A76" s="11"/>
    </row>
    <row r="77" s="7" customFormat="1" ht="12.75">
      <c r="A77" s="11"/>
    </row>
    <row r="78" s="7" customFormat="1" ht="12.75">
      <c r="A78" s="11"/>
    </row>
    <row r="79" spans="2:7" ht="12.75">
      <c r="B79" s="8"/>
      <c r="C79" s="5"/>
      <c r="D79" s="5"/>
      <c r="E79" s="5"/>
      <c r="F79" s="5"/>
      <c r="G79" s="5"/>
    </row>
    <row r="80" spans="2:7" ht="12.75">
      <c r="B80" s="7"/>
      <c r="C80" s="7"/>
      <c r="D80" s="7"/>
      <c r="E80" s="7"/>
      <c r="F80" s="7"/>
      <c r="G80" s="7"/>
    </row>
    <row r="81" spans="2:7" ht="12.75">
      <c r="B81" s="5"/>
      <c r="C81" s="3"/>
      <c r="D81" s="3"/>
      <c r="E81" s="3"/>
      <c r="F81" s="3"/>
      <c r="G81" s="3"/>
    </row>
    <row r="82" spans="2:7" ht="12.75">
      <c r="B82" s="7"/>
      <c r="C82" s="9"/>
      <c r="D82" s="9"/>
      <c r="E82" s="9"/>
      <c r="F82" s="9"/>
      <c r="G82" s="9"/>
    </row>
    <row r="83" spans="2:7" ht="12.75">
      <c r="B83" s="6"/>
      <c r="C83" s="3"/>
      <c r="D83" s="7"/>
      <c r="E83" s="7"/>
      <c r="F83" s="7"/>
      <c r="G83" s="7"/>
    </row>
    <row r="84" spans="2:7" ht="12.75">
      <c r="B84" s="6"/>
      <c r="C84" s="3"/>
      <c r="D84" s="7"/>
      <c r="E84" s="7"/>
      <c r="F84" s="7"/>
      <c r="G84" s="7"/>
    </row>
    <row r="85" spans="2:7" ht="12.75">
      <c r="B85" s="8"/>
      <c r="C85" s="5"/>
      <c r="D85" s="5"/>
      <c r="E85" s="5"/>
      <c r="F85" s="5"/>
      <c r="G85" s="5"/>
    </row>
    <row r="86" spans="2:7" ht="12.75">
      <c r="B86" s="7"/>
      <c r="C86" s="7"/>
      <c r="D86" s="7"/>
      <c r="E86" s="7"/>
      <c r="F86" s="7"/>
      <c r="G86" s="7"/>
    </row>
    <row r="87" spans="2:7" ht="12.75">
      <c r="B87" s="2"/>
      <c r="C87" s="5"/>
      <c r="D87" s="5"/>
      <c r="E87" s="5"/>
      <c r="F87" s="5"/>
      <c r="G87" s="5"/>
    </row>
    <row r="89" spans="3:7" ht="12.75">
      <c r="C89" s="4"/>
      <c r="D89" s="4"/>
      <c r="E89" s="4"/>
      <c r="F89" s="4"/>
      <c r="G89" s="4"/>
    </row>
  </sheetData>
  <sheetProtection/>
  <printOptions/>
  <pageMargins left="0.75" right="0.75" top="1" bottom="1" header="0.5" footer="0.5"/>
  <pageSetup horizontalDpi="600" verticalDpi="600" orientation="portrait" paperSize="9" scale="65" r:id="rId1"/>
  <headerFooter alignWithMargins="0">
    <oddFooter>&amp;LBegroting IGSD apparaatskosten 2015 - 2018&amp;R41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O33"/>
  <sheetViews>
    <sheetView zoomScale="75" zoomScaleNormal="75" zoomScalePageLayoutView="0" workbookViewId="0" topLeftCell="A1">
      <selection activeCell="K13" sqref="K13"/>
    </sheetView>
  </sheetViews>
  <sheetFormatPr defaultColWidth="9.140625" defaultRowHeight="12.75"/>
  <cols>
    <col min="1" max="1" width="11.421875" style="27" bestFit="1" customWidth="1"/>
    <col min="2" max="2" width="57.28125" style="27" customWidth="1"/>
    <col min="3" max="4" width="14.28125" style="27" hidden="1" customWidth="1"/>
    <col min="5" max="5" width="16.421875" style="27" hidden="1" customWidth="1"/>
    <col min="6" max="6" width="14.28125" style="27" hidden="1" customWidth="1"/>
    <col min="7" max="7" width="14.8515625" style="27" hidden="1" customWidth="1"/>
    <col min="8" max="8" width="11.28125" style="27" hidden="1" customWidth="1"/>
    <col min="9" max="9" width="13.00390625" style="27" hidden="1" customWidth="1"/>
    <col min="10" max="10" width="11.8515625" style="27" customWidth="1"/>
    <col min="11" max="11" width="12.00390625" style="27" customWidth="1"/>
    <col min="12" max="15" width="10.8515625" style="27" bestFit="1" customWidth="1"/>
    <col min="16" max="16384" width="9.140625" style="27" customWidth="1"/>
  </cols>
  <sheetData>
    <row r="4" ht="22.5">
      <c r="B4" s="93" t="s">
        <v>129</v>
      </c>
    </row>
    <row r="5" ht="25.5">
      <c r="B5" s="29"/>
    </row>
    <row r="6" spans="9:11" ht="54">
      <c r="I6" s="97" t="s">
        <v>116</v>
      </c>
      <c r="J6" s="97" t="s">
        <v>116</v>
      </c>
      <c r="K6" s="97" t="s">
        <v>117</v>
      </c>
    </row>
    <row r="7" spans="2:15" s="24" customFormat="1" ht="21">
      <c r="B7" s="23" t="s">
        <v>14</v>
      </c>
      <c r="C7" s="43">
        <v>2006</v>
      </c>
      <c r="D7" s="43">
        <v>2007</v>
      </c>
      <c r="E7" s="43">
        <v>2008</v>
      </c>
      <c r="F7" s="43">
        <f>+E7+1</f>
        <v>2009</v>
      </c>
      <c r="G7" s="43">
        <f>+F7+1</f>
        <v>2010</v>
      </c>
      <c r="H7" s="43">
        <v>2012</v>
      </c>
      <c r="I7" s="43">
        <v>2011</v>
      </c>
      <c r="J7" s="43">
        <v>2013</v>
      </c>
      <c r="K7" s="43">
        <v>2014</v>
      </c>
      <c r="L7" s="43">
        <f>+K7+1</f>
        <v>2015</v>
      </c>
      <c r="M7" s="43">
        <f>+L7+1</f>
        <v>2016</v>
      </c>
      <c r="N7" s="43">
        <f>+M7+1</f>
        <v>2017</v>
      </c>
      <c r="O7" s="43">
        <f>+N7+1</f>
        <v>2018</v>
      </c>
    </row>
    <row r="8" spans="2:15" s="14" customFormat="1" ht="18">
      <c r="B8" s="1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s="14" customFormat="1" ht="18">
      <c r="A9" s="44" t="s">
        <v>29</v>
      </c>
      <c r="B9" s="45" t="s">
        <v>19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14" customFormat="1" ht="18">
      <c r="A10" s="47" t="s">
        <v>37</v>
      </c>
      <c r="B10" s="48" t="s">
        <v>82</v>
      </c>
      <c r="C10" s="16">
        <v>25000</v>
      </c>
      <c r="D10" s="16">
        <v>25000</v>
      </c>
      <c r="E10" s="16">
        <f>+D10*1.0575</f>
        <v>26437.500000000004</v>
      </c>
      <c r="F10" s="16">
        <f>+E10</f>
        <v>26437.500000000004</v>
      </c>
      <c r="G10" s="16">
        <f>+F10</f>
        <v>26437.500000000004</v>
      </c>
      <c r="H10" s="16">
        <v>15000</v>
      </c>
      <c r="I10" s="16">
        <v>7128</v>
      </c>
      <c r="J10" s="57">
        <v>7505</v>
      </c>
      <c r="K10" s="57">
        <v>9000</v>
      </c>
      <c r="L10" s="57">
        <v>9000</v>
      </c>
      <c r="M10" s="57">
        <f>+L10</f>
        <v>9000</v>
      </c>
      <c r="N10" s="57">
        <f aca="true" t="shared" si="0" ref="N10:O12">+M10</f>
        <v>9000</v>
      </c>
      <c r="O10" s="57">
        <f t="shared" si="0"/>
        <v>9000</v>
      </c>
    </row>
    <row r="11" spans="1:15" s="14" customFormat="1" ht="18">
      <c r="A11" s="47" t="s">
        <v>38</v>
      </c>
      <c r="B11" s="48" t="s">
        <v>4</v>
      </c>
      <c r="C11" s="48">
        <v>6000</v>
      </c>
      <c r="D11" s="14">
        <v>6000</v>
      </c>
      <c r="E11" s="16">
        <f>+D11*1.0575</f>
        <v>6345.000000000001</v>
      </c>
      <c r="F11" s="57">
        <v>0</v>
      </c>
      <c r="G11" s="16">
        <v>6000</v>
      </c>
      <c r="H11" s="16">
        <v>20000</v>
      </c>
      <c r="I11" s="16">
        <v>27013.47</v>
      </c>
      <c r="J11" s="57">
        <v>11431</v>
      </c>
      <c r="K11" s="57">
        <v>15000</v>
      </c>
      <c r="L11" s="57">
        <v>15000</v>
      </c>
      <c r="M11" s="57">
        <v>15000</v>
      </c>
      <c r="N11" s="57">
        <v>15000</v>
      </c>
      <c r="O11" s="57">
        <v>15000</v>
      </c>
    </row>
    <row r="12" spans="1:15" s="14" customFormat="1" ht="18">
      <c r="A12" s="47" t="s">
        <v>39</v>
      </c>
      <c r="B12" s="14" t="s">
        <v>102</v>
      </c>
      <c r="C12" s="14">
        <v>207000</v>
      </c>
      <c r="D12" s="14">
        <v>207000</v>
      </c>
      <c r="E12" s="16">
        <f>+D12*1.0575</f>
        <v>218902.50000000003</v>
      </c>
      <c r="F12" s="16">
        <f>+E12</f>
        <v>218902.50000000003</v>
      </c>
      <c r="G12" s="16">
        <v>225000</v>
      </c>
      <c r="H12" s="16">
        <v>370000</v>
      </c>
      <c r="I12" s="16">
        <v>385087</v>
      </c>
      <c r="J12" s="57">
        <v>349156</v>
      </c>
      <c r="K12" s="57">
        <v>360000</v>
      </c>
      <c r="L12" s="57">
        <v>360000</v>
      </c>
      <c r="M12" s="57">
        <f>+L12</f>
        <v>360000</v>
      </c>
      <c r="N12" s="57">
        <f t="shared" si="0"/>
        <v>360000</v>
      </c>
      <c r="O12" s="57">
        <f t="shared" si="0"/>
        <v>360000</v>
      </c>
    </row>
    <row r="13" spans="1:15" s="14" customFormat="1" ht="18">
      <c r="A13" s="47">
        <v>37375</v>
      </c>
      <c r="B13" s="14" t="s">
        <v>88</v>
      </c>
      <c r="E13" s="16"/>
      <c r="F13" s="16"/>
      <c r="G13" s="16"/>
      <c r="H13" s="16"/>
      <c r="I13" s="16"/>
      <c r="J13" s="57">
        <v>-52</v>
      </c>
      <c r="K13" s="57"/>
      <c r="L13" s="57"/>
      <c r="M13" s="57"/>
      <c r="N13" s="57"/>
      <c r="O13" s="57"/>
    </row>
    <row r="14" spans="1:15" s="14" customFormat="1" ht="18.75" thickBot="1">
      <c r="A14" s="48"/>
      <c r="B14" s="48"/>
      <c r="C14" s="48"/>
      <c r="D14" s="48"/>
      <c r="E14" s="48"/>
      <c r="F14" s="48"/>
      <c r="G14" s="48"/>
      <c r="H14" s="69">
        <f aca="true" t="shared" si="1" ref="H14:O14">SUM(H10:H12)</f>
        <v>405000</v>
      </c>
      <c r="I14" s="69">
        <f t="shared" si="1"/>
        <v>419228.47</v>
      </c>
      <c r="J14" s="99">
        <f>SUM(J10:J13)</f>
        <v>368040</v>
      </c>
      <c r="K14" s="99">
        <f t="shared" si="1"/>
        <v>384000</v>
      </c>
      <c r="L14" s="99">
        <f t="shared" si="1"/>
        <v>384000</v>
      </c>
      <c r="M14" s="99">
        <f t="shared" si="1"/>
        <v>384000</v>
      </c>
      <c r="N14" s="99">
        <f t="shared" si="1"/>
        <v>384000</v>
      </c>
      <c r="O14" s="99">
        <f t="shared" si="1"/>
        <v>384000</v>
      </c>
    </row>
    <row r="15" spans="1:15" s="14" customFormat="1" ht="18.75" thickTop="1">
      <c r="A15" s="48"/>
      <c r="B15" s="48" t="s">
        <v>49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s="14" customFormat="1" ht="18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8">
      <c r="A17" s="48">
        <v>34371</v>
      </c>
      <c r="B17" s="48" t="s">
        <v>91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8">
      <c r="A18" s="48"/>
      <c r="B18" s="48" t="s">
        <v>92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8">
      <c r="A19" s="48">
        <v>34372</v>
      </c>
      <c r="B19" s="48" t="s">
        <v>93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8">
      <c r="A20" s="48"/>
      <c r="B20" s="48" t="s">
        <v>94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8">
      <c r="A21" s="48">
        <v>34372</v>
      </c>
      <c r="B21" s="48" t="s">
        <v>95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18">
      <c r="A22" s="48"/>
      <c r="B22" s="48" t="s">
        <v>110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8">
      <c r="A23" s="48"/>
      <c r="B23" s="48" t="s">
        <v>111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8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18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8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8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8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8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8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8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8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18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</sheetData>
  <sheetProtection/>
  <printOptions/>
  <pageMargins left="0.75" right="0.75" top="1" bottom="1" header="0.5" footer="0.5"/>
  <pageSetup horizontalDpi="600" verticalDpi="600" orientation="portrait" paperSize="9" scale="64" r:id="rId1"/>
  <headerFooter alignWithMargins="0">
    <oddFooter>&amp;LBegroting IGSD apparaatskosten 2015 - 2018&amp;R42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Steenwijkerland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kantoor Automatisering</dc:creator>
  <cp:keywords/>
  <dc:description/>
  <cp:lastModifiedBy>Arnold Stroop</cp:lastModifiedBy>
  <cp:lastPrinted>2014-04-10T14:39:29Z</cp:lastPrinted>
  <dcterms:created xsi:type="dcterms:W3CDTF">2006-03-09T14:54:59Z</dcterms:created>
  <dcterms:modified xsi:type="dcterms:W3CDTF">2014-05-20T07:54:11Z</dcterms:modified>
  <cp:category/>
  <cp:version/>
  <cp:contentType/>
  <cp:contentStatus/>
</cp:coreProperties>
</file>